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boskalis.sharepoint.com/sites/P0058305/exec/Acc/Acceptatie documenten/"/>
    </mc:Choice>
  </mc:AlternateContent>
  <xr:revisionPtr revIDLastSave="0" documentId="8_{5A39EBF4-6351-48AD-A0C2-175F36C9E155}" xr6:coauthVersionLast="47" xr6:coauthVersionMax="47" xr10:uidLastSave="{00000000-0000-0000-0000-000000000000}"/>
  <workbookProtection workbookAlgorithmName="SHA-512" workbookHashValue="rIBomrgcMWHTczjNkq0wUvS16CPvjv0E7g2/Pa3o7p+QvD0wLDExLokhSGaAWC+3+767qUPrv7ZZxu2uM6vmRw==" workbookSaltValue="UN9EoHTsw48HzyEMvUx6ZQ==" workbookSpinCount="100000" lockStructure="1"/>
  <bookViews>
    <workbookView xWindow="28680" yWindow="-120" windowWidth="25440" windowHeight="15270" tabRatio="625" xr2:uid="{00000000-000D-0000-FFFF-FFFF00000000}"/>
  </bookViews>
  <sheets>
    <sheet name="Invoertabblad" sheetId="11" r:id="rId1"/>
    <sheet name="EURAL" sheetId="1" r:id="rId2"/>
    <sheet name="Toepassen op waterbodem" sheetId="7" r:id="rId3"/>
    <sheet name="Verspreiden in zoet opp water" sheetId="12" r:id="rId4"/>
    <sheet name="Verspreiden in zout opp water" sheetId="13" r:id="rId5"/>
    <sheet name="Toepassen in diepe plas" sheetId="14" r:id="rId6"/>
    <sheet name="molgewicht" sheetId="5" state="hidden" r:id="rId7"/>
    <sheet name="correctiefactor" sheetId="4" state="hidden" r:id="rId8"/>
    <sheet name="standaardisering" sheetId="6" state="hidden" r:id="rId9"/>
  </sheets>
  <definedNames>
    <definedName name="_xlnm._FilterDatabase" localSheetId="8" hidden="1">standaardisering!$B$2:$B$4</definedName>
    <definedName name="_xlnm.Print_Area" localSheetId="1">EURAL!$B$2:$AF$218</definedName>
    <definedName name="_xlnm.Print_Area" localSheetId="0">Invoertabblad!$A$1:$J$148</definedName>
    <definedName name="_xlnm.Print_Area" localSheetId="5">'Toepassen in diepe plas'!$A$1:$I$125</definedName>
    <definedName name="_xlnm.Print_Area" localSheetId="2">'Toepassen op waterbodem'!$A$1:$Q$125</definedName>
    <definedName name="_xlnm.Print_Area" localSheetId="3">'Verspreiden in zoet opp water'!$A$1:$H$125</definedName>
    <definedName name="_xlnm.Print_Area" localSheetId="4">'Verspreiden in zout opp water'!$A$1:$H$125</definedName>
    <definedName name="Ag">molgewicht!$C$27</definedName>
    <definedName name="Al">molgewicht!$C$76</definedName>
    <definedName name="Ar">molgewicht!$C$81</definedName>
    <definedName name="As">molgewicht!$C$13</definedName>
    <definedName name="At">molgewicht!$C$51</definedName>
    <definedName name="Au">molgewicht!$C$45</definedName>
    <definedName name="B">molgewicht!$C$93</definedName>
    <definedName name="Ba">molgewicht!$C$36</definedName>
    <definedName name="Be">molgewicht!$C$92</definedName>
    <definedName name="Bh">molgewicht!$C$59</definedName>
    <definedName name="Bi">molgewicht!$C$49</definedName>
    <definedName name="Br">molgewicht!$C$15</definedName>
    <definedName name="C_">molgewicht!$C$69</definedName>
    <definedName name="Ca">molgewicht!$C$83</definedName>
    <definedName name="Cd">molgewicht!$C$28</definedName>
    <definedName name="Cl">molgewicht!$C$80</definedName>
    <definedName name="Cn">molgewicht!$C$64</definedName>
    <definedName name="Co">molgewicht!$C$7</definedName>
    <definedName name="Cr">molgewicht!$C$4</definedName>
    <definedName name="Cs">molgewicht!$C$35</definedName>
    <definedName name="Cu">molgewicht!$C$9</definedName>
    <definedName name="Db">molgewicht!$C$57</definedName>
    <definedName name="Ds">molgewicht!$C$62</definedName>
    <definedName name="F">molgewicht!$C$72</definedName>
    <definedName name="Fe">molgewicht!$C$6</definedName>
    <definedName name="Fr">molgewicht!$C$53</definedName>
    <definedName name="Ga">molgewicht!$C$11</definedName>
    <definedName name="Ge">molgewicht!$C$12</definedName>
    <definedName name="H">molgewicht!$C$89</definedName>
    <definedName name="He">molgewicht!$C$90</definedName>
    <definedName name="Hf">molgewicht!$C$38</definedName>
    <definedName name="Hg">molgewicht!$C$46</definedName>
    <definedName name="Hs">molgewicht!$C$60</definedName>
    <definedName name="I">molgewicht!$C$33</definedName>
    <definedName name="In">molgewicht!$C$29</definedName>
    <definedName name="Ir">molgewicht!$C$43</definedName>
    <definedName name="Kalium">molgewicht!$C$82</definedName>
    <definedName name="Kr">molgewicht!$C$16</definedName>
    <definedName name="Li">molgewicht!$C$91</definedName>
    <definedName name="Lr">molgewicht!$C$55</definedName>
    <definedName name="Lu">molgewicht!$C$37</definedName>
    <definedName name="Mg">molgewicht!$C$75</definedName>
    <definedName name="Mn">molgewicht!$C$5</definedName>
    <definedName name="Mo">molgewicht!$C$22</definedName>
    <definedName name="Mt">molgewicht!$C$61</definedName>
    <definedName name="N">molgewicht!$C$70</definedName>
    <definedName name="Na">molgewicht!$C$74</definedName>
    <definedName name="Nb">molgewicht!$C$21</definedName>
    <definedName name="Ne">molgewicht!$C$73</definedName>
    <definedName name="Ni">molgewicht!$C$8</definedName>
    <definedName name="O">molgewicht!$C$71</definedName>
    <definedName name="Os">molgewicht!$C$42</definedName>
    <definedName name="P">molgewicht!$C$78</definedName>
    <definedName name="Pb">molgewicht!$C$48</definedName>
    <definedName name="Po">molgewicht!$C$50</definedName>
    <definedName name="Pt">molgewicht!$C$44</definedName>
    <definedName name="Ra">molgewicht!$C$54</definedName>
    <definedName name="Rb">molgewicht!$C$17</definedName>
    <definedName name="Re">molgewicht!$C$41</definedName>
    <definedName name="Rf">molgewicht!$C$56</definedName>
    <definedName name="Rg">molgewicht!$C$63</definedName>
    <definedName name="Rh">molgewicht!$C$25</definedName>
    <definedName name="Rn">molgewicht!$C$52</definedName>
    <definedName name="Ru">molgewicht!$C$24</definedName>
    <definedName name="S">molgewicht!$C$79</definedName>
    <definedName name="Sb">molgewicht!$C$31</definedName>
    <definedName name="Sc">molgewicht!$C$84</definedName>
    <definedName name="Se">molgewicht!$C$14</definedName>
    <definedName name="Sg">molgewicht!$C$58</definedName>
    <definedName name="Si">molgewicht!$C$77</definedName>
    <definedName name="Sn">molgewicht!$C$30</definedName>
    <definedName name="Sr">molgewicht!$C$18</definedName>
    <definedName name="Ta">molgewicht!$C$39</definedName>
    <definedName name="Tc">molgewicht!$C$23</definedName>
    <definedName name="Te">molgewicht!$C$32</definedName>
    <definedName name="Ti">molgewicht!$C$85</definedName>
    <definedName name="Tl">molgewicht!$C$47</definedName>
    <definedName name="V">molgewicht!$C$68</definedName>
    <definedName name="W">molgewicht!$C$40</definedName>
    <definedName name="Xe">molgewicht!$C$34</definedName>
    <definedName name="Y">molgewicht!$C$19</definedName>
    <definedName name="Zn">molgewicht!$C$10</definedName>
    <definedName name="Zr">molgewicht!$C$20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9" i="1" l="1"/>
  <c r="D147" i="11"/>
  <c r="E147" i="11"/>
  <c r="D91" i="1" s="1"/>
  <c r="E148" i="11"/>
  <c r="D70" i="1" s="1"/>
  <c r="D148" i="11"/>
  <c r="E146" i="11"/>
  <c r="D146" i="11"/>
  <c r="C42" i="1" l="1"/>
  <c r="D42" i="1"/>
  <c r="F42" i="1" s="1"/>
  <c r="C1" i="7"/>
  <c r="D13" i="6"/>
  <c r="D12" i="6"/>
  <c r="D46" i="1"/>
  <c r="D33" i="1"/>
  <c r="D34" i="1"/>
  <c r="D35" i="1"/>
  <c r="D36" i="1"/>
  <c r="D37" i="1"/>
  <c r="D38" i="1"/>
  <c r="D39" i="1"/>
  <c r="D40" i="1"/>
  <c r="D41" i="1"/>
  <c r="D32" i="1"/>
  <c r="C4" i="14"/>
  <c r="B4" i="14"/>
  <c r="C3" i="14"/>
  <c r="B3" i="14"/>
  <c r="C2" i="14"/>
  <c r="B2" i="14"/>
  <c r="C1" i="14"/>
  <c r="C4" i="13"/>
  <c r="B4" i="13"/>
  <c r="C3" i="13"/>
  <c r="B3" i="13"/>
  <c r="C2" i="13"/>
  <c r="B2" i="13"/>
  <c r="C1" i="13"/>
  <c r="C4" i="12"/>
  <c r="B4" i="12"/>
  <c r="C3" i="12"/>
  <c r="B3" i="12"/>
  <c r="C2" i="12"/>
  <c r="B2" i="12"/>
  <c r="C1" i="12"/>
  <c r="C3" i="7"/>
  <c r="C2" i="7"/>
  <c r="B4" i="7"/>
  <c r="B3" i="7"/>
  <c r="B2" i="7"/>
  <c r="C4" i="7"/>
  <c r="B5" i="1"/>
  <c r="B4" i="1"/>
  <c r="B3" i="1"/>
  <c r="E4" i="1"/>
  <c r="AJ3" i="1" l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51" i="1"/>
  <c r="C52" i="1"/>
  <c r="C53" i="1"/>
  <c r="C54" i="1"/>
  <c r="C55" i="1"/>
  <c r="C56" i="1"/>
  <c r="C57" i="1"/>
  <c r="C45" i="1"/>
  <c r="C17" i="1"/>
  <c r="C18" i="1"/>
  <c r="C19" i="1"/>
  <c r="C20" i="1"/>
  <c r="C21" i="1"/>
  <c r="C22" i="1"/>
  <c r="C23" i="1"/>
  <c r="C24" i="1"/>
  <c r="C25" i="1"/>
  <c r="C26" i="1"/>
  <c r="C27" i="1"/>
  <c r="C29" i="1"/>
  <c r="C32" i="1"/>
  <c r="C33" i="1"/>
  <c r="C34" i="1"/>
  <c r="C35" i="1"/>
  <c r="C36" i="1"/>
  <c r="C37" i="1"/>
  <c r="C38" i="1"/>
  <c r="C39" i="1"/>
  <c r="C40" i="1"/>
  <c r="C41" i="1"/>
  <c r="D18" i="1"/>
  <c r="D19" i="1"/>
  <c r="D20" i="1"/>
  <c r="D21" i="1"/>
  <c r="D22" i="1"/>
  <c r="D23" i="1"/>
  <c r="D24" i="1"/>
  <c r="D25" i="1"/>
  <c r="D26" i="1"/>
  <c r="D27" i="1"/>
  <c r="D29" i="1"/>
  <c r="E2" i="1"/>
  <c r="E3" i="1"/>
  <c r="C5" i="11"/>
  <c r="F15" i="11"/>
  <c r="F14" i="11"/>
  <c r="K85" i="14" l="1"/>
  <c r="L85" i="14" s="1"/>
  <c r="K84" i="14"/>
  <c r="L84" i="14" s="1"/>
  <c r="K81" i="14"/>
  <c r="K79" i="14"/>
  <c r="L79" i="14" s="1"/>
  <c r="K78" i="14"/>
  <c r="L78" i="14" s="1"/>
  <c r="K77" i="14"/>
  <c r="L77" i="14" s="1"/>
  <c r="K76" i="14"/>
  <c r="K74" i="14"/>
  <c r="L74" i="14" s="1"/>
  <c r="K73" i="14"/>
  <c r="L73" i="14" s="1"/>
  <c r="K72" i="14"/>
  <c r="K71" i="14"/>
  <c r="K70" i="14"/>
  <c r="L70" i="14" s="1"/>
  <c r="K69" i="14"/>
  <c r="L69" i="14" s="1"/>
  <c r="K68" i="14"/>
  <c r="L68" i="14" s="1"/>
  <c r="K67" i="14"/>
  <c r="L67" i="14" s="1"/>
  <c r="K66" i="14"/>
  <c r="L66" i="14" s="1"/>
  <c r="K65" i="14"/>
  <c r="L65" i="14" s="1"/>
  <c r="K64" i="14"/>
  <c r="L64" i="14" s="1"/>
  <c r="K60" i="14"/>
  <c r="K58" i="14"/>
  <c r="K57" i="14"/>
  <c r="L57" i="14" s="1"/>
  <c r="K56" i="14"/>
  <c r="L56" i="14" s="1"/>
  <c r="K55" i="14"/>
  <c r="K54" i="14"/>
  <c r="L54" i="14" s="1"/>
  <c r="K53" i="14"/>
  <c r="L53" i="14" s="1"/>
  <c r="K52" i="14"/>
  <c r="L52" i="14" s="1"/>
  <c r="K51" i="14"/>
  <c r="L51" i="14" s="1"/>
  <c r="K50" i="14"/>
  <c r="L50" i="14" s="1"/>
  <c r="K49" i="14"/>
  <c r="K48" i="14"/>
  <c r="L48" i="14" s="1"/>
  <c r="K47" i="14"/>
  <c r="K46" i="14"/>
  <c r="L46" i="14" s="1"/>
  <c r="K45" i="14"/>
  <c r="K42" i="14"/>
  <c r="K40" i="14"/>
  <c r="K25" i="14"/>
  <c r="K24" i="14"/>
  <c r="K23" i="14"/>
  <c r="K20" i="14"/>
  <c r="K19" i="14"/>
  <c r="L19" i="14" s="1"/>
  <c r="K18" i="14"/>
  <c r="L18" i="14" s="1"/>
  <c r="K17" i="14"/>
  <c r="L17" i="14" s="1"/>
  <c r="K16" i="14"/>
  <c r="K15" i="14"/>
  <c r="L15" i="14" s="1"/>
  <c r="K14" i="14"/>
  <c r="L14" i="14" s="1"/>
  <c r="K13" i="14"/>
  <c r="L13" i="14" s="1"/>
  <c r="K12" i="14"/>
  <c r="K10" i="14"/>
  <c r="L10" i="14" s="1"/>
  <c r="L81" i="14"/>
  <c r="L76" i="14"/>
  <c r="L72" i="14"/>
  <c r="L71" i="14"/>
  <c r="L60" i="14"/>
  <c r="L55" i="14"/>
  <c r="L49" i="14"/>
  <c r="L47" i="14"/>
  <c r="L45" i="14"/>
  <c r="L42" i="14"/>
  <c r="L40" i="14"/>
  <c r="L25" i="14"/>
  <c r="L24" i="14"/>
  <c r="L23" i="14"/>
  <c r="L20" i="14"/>
  <c r="L16" i="14"/>
  <c r="L12" i="14"/>
  <c r="B125" i="14"/>
  <c r="F123" i="14"/>
  <c r="F122" i="14"/>
  <c r="F119" i="14"/>
  <c r="F116" i="14"/>
  <c r="F115" i="14"/>
  <c r="F114" i="14"/>
  <c r="F113" i="14"/>
  <c r="F112" i="14"/>
  <c r="F111" i="14"/>
  <c r="F110" i="14"/>
  <c r="F109" i="14"/>
  <c r="F108" i="14"/>
  <c r="F107" i="14"/>
  <c r="F106" i="14"/>
  <c r="F105" i="14"/>
  <c r="F104" i="14"/>
  <c r="F103" i="14"/>
  <c r="F102" i="14"/>
  <c r="F101" i="14"/>
  <c r="F100" i="14"/>
  <c r="F99" i="14"/>
  <c r="F98" i="14"/>
  <c r="F97" i="14"/>
  <c r="F96" i="14"/>
  <c r="F95" i="14"/>
  <c r="F94" i="14"/>
  <c r="F93" i="14"/>
  <c r="F92" i="14"/>
  <c r="F91" i="14"/>
  <c r="H90" i="14"/>
  <c r="F90" i="14"/>
  <c r="C84" i="14"/>
  <c r="C83" i="14"/>
  <c r="E75" i="14"/>
  <c r="E74" i="14"/>
  <c r="E73" i="14"/>
  <c r="E72" i="14"/>
  <c r="E71" i="14"/>
  <c r="E70" i="14"/>
  <c r="E64" i="14"/>
  <c r="C59" i="14"/>
  <c r="C44" i="14"/>
  <c r="C29" i="14"/>
  <c r="C22" i="14"/>
  <c r="D9" i="14"/>
  <c r="C9" i="14"/>
  <c r="K52" i="13"/>
  <c r="K42" i="13"/>
  <c r="K20" i="13"/>
  <c r="K14" i="13"/>
  <c r="K10" i="13"/>
  <c r="B125" i="13"/>
  <c r="F123" i="13"/>
  <c r="F122" i="13"/>
  <c r="F119" i="13"/>
  <c r="F116" i="13"/>
  <c r="F115" i="13"/>
  <c r="F114" i="13"/>
  <c r="F113" i="13"/>
  <c r="F112" i="13"/>
  <c r="F111" i="13"/>
  <c r="F110" i="13"/>
  <c r="F109" i="13"/>
  <c r="F108" i="13"/>
  <c r="F107" i="13"/>
  <c r="F106" i="13"/>
  <c r="F105" i="13"/>
  <c r="F104" i="13"/>
  <c r="F103" i="13"/>
  <c r="F102" i="13"/>
  <c r="F101" i="13"/>
  <c r="F100" i="13"/>
  <c r="F99" i="13"/>
  <c r="F98" i="13"/>
  <c r="F97" i="13"/>
  <c r="F96" i="13"/>
  <c r="F95" i="13"/>
  <c r="F94" i="13"/>
  <c r="F93" i="13"/>
  <c r="F92" i="13"/>
  <c r="F91" i="13"/>
  <c r="G90" i="13"/>
  <c r="F90" i="13"/>
  <c r="C84" i="13"/>
  <c r="C83" i="13"/>
  <c r="E75" i="13"/>
  <c r="E74" i="13"/>
  <c r="E73" i="13"/>
  <c r="E72" i="13"/>
  <c r="E71" i="13"/>
  <c r="E70" i="13"/>
  <c r="E64" i="13"/>
  <c r="C59" i="13"/>
  <c r="C44" i="13"/>
  <c r="C29" i="13"/>
  <c r="C22" i="13"/>
  <c r="D9" i="13"/>
  <c r="C9" i="13"/>
  <c r="J40" i="12"/>
  <c r="J42" i="12"/>
  <c r="F91" i="12"/>
  <c r="F92" i="12"/>
  <c r="F93" i="12"/>
  <c r="F94" i="12"/>
  <c r="F95" i="12"/>
  <c r="F96" i="12"/>
  <c r="F97" i="12"/>
  <c r="F98" i="12"/>
  <c r="F99" i="12"/>
  <c r="F100" i="12"/>
  <c r="F101" i="12"/>
  <c r="F102" i="12"/>
  <c r="F103" i="12"/>
  <c r="F104" i="12"/>
  <c r="F105" i="12"/>
  <c r="F106" i="12"/>
  <c r="F107" i="12"/>
  <c r="F108" i="12"/>
  <c r="F109" i="12"/>
  <c r="F110" i="12"/>
  <c r="F111" i="12"/>
  <c r="F112" i="12"/>
  <c r="F113" i="12"/>
  <c r="F114" i="12"/>
  <c r="F115" i="12"/>
  <c r="F116" i="12"/>
  <c r="F119" i="12"/>
  <c r="F122" i="12"/>
  <c r="F123" i="12"/>
  <c r="B125" i="12"/>
  <c r="G90" i="12"/>
  <c r="F90" i="12"/>
  <c r="H65" i="6"/>
  <c r="K65" i="6" s="1"/>
  <c r="J84" i="12"/>
  <c r="J81" i="12"/>
  <c r="J69" i="12"/>
  <c r="J68" i="12"/>
  <c r="J60" i="12"/>
  <c r="J56" i="12"/>
  <c r="J53" i="12"/>
  <c r="J25" i="12"/>
  <c r="J24" i="12"/>
  <c r="J23" i="12"/>
  <c r="K84" i="12" l="1"/>
  <c r="L84" i="12" s="1"/>
  <c r="C84" i="12"/>
  <c r="C83" i="12"/>
  <c r="K81" i="12"/>
  <c r="L81" i="12" s="1"/>
  <c r="E75" i="12"/>
  <c r="E74" i="12"/>
  <c r="E73" i="12"/>
  <c r="E72" i="12"/>
  <c r="E71" i="12"/>
  <c r="E70" i="12"/>
  <c r="K69" i="12"/>
  <c r="K68" i="12"/>
  <c r="E64" i="12"/>
  <c r="K60" i="12"/>
  <c r="L60" i="12" s="1"/>
  <c r="C59" i="12"/>
  <c r="K56" i="12"/>
  <c r="L56" i="12" s="1"/>
  <c r="K53" i="12"/>
  <c r="C44" i="12"/>
  <c r="K42" i="12"/>
  <c r="K40" i="12"/>
  <c r="C29" i="12"/>
  <c r="K25" i="12"/>
  <c r="K24" i="12"/>
  <c r="K23" i="12"/>
  <c r="C22" i="12"/>
  <c r="D9" i="12"/>
  <c r="C9" i="12"/>
  <c r="N81" i="7"/>
  <c r="L12" i="7"/>
  <c r="M12" i="7" s="1"/>
  <c r="L13" i="7"/>
  <c r="M13" i="7" s="1"/>
  <c r="L14" i="7"/>
  <c r="M14" i="7" s="1"/>
  <c r="L15" i="7"/>
  <c r="M15" i="7" s="1"/>
  <c r="L16" i="7"/>
  <c r="M16" i="7" s="1"/>
  <c r="L17" i="7"/>
  <c r="M17" i="7" s="1"/>
  <c r="L18" i="7"/>
  <c r="M18" i="7" s="1"/>
  <c r="L19" i="7"/>
  <c r="M19" i="7" s="1"/>
  <c r="L20" i="7"/>
  <c r="M20" i="7" s="1"/>
  <c r="L23" i="7"/>
  <c r="M23" i="7" s="1"/>
  <c r="L24" i="7"/>
  <c r="M24" i="7" s="1"/>
  <c r="L25" i="7"/>
  <c r="M25" i="7" s="1"/>
  <c r="L40" i="7"/>
  <c r="M40" i="7" s="1"/>
  <c r="L42" i="7"/>
  <c r="M42" i="7" s="1"/>
  <c r="L45" i="7"/>
  <c r="M45" i="7" s="1"/>
  <c r="L46" i="7"/>
  <c r="M46" i="7" s="1"/>
  <c r="L47" i="7"/>
  <c r="M47" i="7" s="1"/>
  <c r="L48" i="7"/>
  <c r="M48" i="7" s="1"/>
  <c r="L49" i="7"/>
  <c r="M49" i="7" s="1"/>
  <c r="L50" i="7"/>
  <c r="M50" i="7" s="1"/>
  <c r="L51" i="7"/>
  <c r="M51" i="7" s="1"/>
  <c r="L52" i="7"/>
  <c r="M52" i="7" s="1"/>
  <c r="L53" i="7"/>
  <c r="M53" i="7" s="1"/>
  <c r="L54" i="7"/>
  <c r="M54" i="7" s="1"/>
  <c r="L55" i="7"/>
  <c r="M55" i="7" s="1"/>
  <c r="L56" i="7"/>
  <c r="M56" i="7" s="1"/>
  <c r="L57" i="7"/>
  <c r="M57" i="7" s="1"/>
  <c r="L60" i="7"/>
  <c r="M60" i="7" s="1"/>
  <c r="L64" i="7"/>
  <c r="M64" i="7" s="1"/>
  <c r="L65" i="7"/>
  <c r="M65" i="7" s="1"/>
  <c r="L66" i="7"/>
  <c r="M66" i="7" s="1"/>
  <c r="L67" i="7"/>
  <c r="M67" i="7" s="1"/>
  <c r="L68" i="7"/>
  <c r="M68" i="7" s="1"/>
  <c r="L69" i="7"/>
  <c r="M69" i="7" s="1"/>
  <c r="L70" i="7"/>
  <c r="M70" i="7" s="1"/>
  <c r="L71" i="7"/>
  <c r="M71" i="7" s="1"/>
  <c r="L72" i="7"/>
  <c r="M72" i="7" s="1"/>
  <c r="L73" i="7"/>
  <c r="M73" i="7" s="1"/>
  <c r="L74" i="7"/>
  <c r="M74" i="7" s="1"/>
  <c r="L76" i="7"/>
  <c r="M76" i="7" s="1"/>
  <c r="L77" i="7"/>
  <c r="M77" i="7" s="1"/>
  <c r="L78" i="7"/>
  <c r="M78" i="7" s="1"/>
  <c r="L79" i="7"/>
  <c r="M79" i="7" s="1"/>
  <c r="L81" i="7"/>
  <c r="M81" i="7" s="1"/>
  <c r="L84" i="7"/>
  <c r="M84" i="7" s="1"/>
  <c r="L85" i="7"/>
  <c r="M85" i="7" s="1"/>
  <c r="L10" i="7"/>
  <c r="M10" i="7" s="1"/>
  <c r="J81" i="7"/>
  <c r="B87" i="6"/>
  <c r="C87" i="6"/>
  <c r="D87" i="6"/>
  <c r="K87" i="6"/>
  <c r="E64" i="7"/>
  <c r="E70" i="7"/>
  <c r="E71" i="7"/>
  <c r="E72" i="7"/>
  <c r="E73" i="7"/>
  <c r="E74" i="7"/>
  <c r="E75" i="7"/>
  <c r="D9" i="7"/>
  <c r="D90" i="7" s="1"/>
  <c r="C22" i="7"/>
  <c r="C29" i="7"/>
  <c r="C44" i="7"/>
  <c r="C59" i="7"/>
  <c r="C83" i="7"/>
  <c r="C84" i="7"/>
  <c r="C9" i="7"/>
  <c r="K31" i="6"/>
  <c r="K30" i="6"/>
  <c r="K29" i="6"/>
  <c r="E23" i="12" s="1"/>
  <c r="K95" i="6"/>
  <c r="E91" i="7" s="1"/>
  <c r="E90" i="6"/>
  <c r="K90" i="6"/>
  <c r="K86" i="6"/>
  <c r="B107" i="6"/>
  <c r="B103" i="7" s="1"/>
  <c r="B103" i="14" s="1"/>
  <c r="B108" i="6"/>
  <c r="B104" i="7" s="1"/>
  <c r="B104" i="14" s="1"/>
  <c r="B109" i="6"/>
  <c r="B105" i="7" s="1"/>
  <c r="B105" i="14" s="1"/>
  <c r="B110" i="6"/>
  <c r="B106" i="7" s="1"/>
  <c r="B106" i="14" s="1"/>
  <c r="B111" i="6"/>
  <c r="B107" i="7" s="1"/>
  <c r="B107" i="14" s="1"/>
  <c r="B112" i="6"/>
  <c r="B108" i="7" s="1"/>
  <c r="B108" i="14" s="1"/>
  <c r="B113" i="6"/>
  <c r="B109" i="7" s="1"/>
  <c r="B109" i="14" s="1"/>
  <c r="B114" i="6"/>
  <c r="B110" i="7" s="1"/>
  <c r="B110" i="14" s="1"/>
  <c r="B115" i="6"/>
  <c r="B111" i="7" s="1"/>
  <c r="B111" i="14" s="1"/>
  <c r="B116" i="6"/>
  <c r="B112" i="7" s="1"/>
  <c r="B112" i="14" s="1"/>
  <c r="B117" i="6"/>
  <c r="B113" i="7" s="1"/>
  <c r="B113" i="14" s="1"/>
  <c r="B118" i="6"/>
  <c r="B114" i="7" s="1"/>
  <c r="B114" i="14" s="1"/>
  <c r="B119" i="6"/>
  <c r="B115" i="7" s="1"/>
  <c r="B115" i="14" s="1"/>
  <c r="B120" i="6"/>
  <c r="B116" i="7" s="1"/>
  <c r="B116" i="14" s="1"/>
  <c r="B117" i="7"/>
  <c r="B117" i="14" s="1"/>
  <c r="B118" i="7"/>
  <c r="B118" i="14" s="1"/>
  <c r="B121" i="6"/>
  <c r="B119" i="7" s="1"/>
  <c r="B119" i="14" s="1"/>
  <c r="B120" i="7"/>
  <c r="B120" i="14" s="1"/>
  <c r="B121" i="7"/>
  <c r="B121" i="14" s="1"/>
  <c r="B122" i="6"/>
  <c r="B122" i="7" s="1"/>
  <c r="B122" i="14" s="1"/>
  <c r="B123" i="6"/>
  <c r="B123" i="7" s="1"/>
  <c r="B123" i="14" s="1"/>
  <c r="B106" i="6"/>
  <c r="B102" i="7" s="1"/>
  <c r="B102" i="14" s="1"/>
  <c r="B101" i="6"/>
  <c r="B97" i="7" s="1"/>
  <c r="B97" i="14" s="1"/>
  <c r="B102" i="6"/>
  <c r="B98" i="7" s="1"/>
  <c r="B98" i="14" s="1"/>
  <c r="B103" i="6"/>
  <c r="B99" i="7" s="1"/>
  <c r="B99" i="14" s="1"/>
  <c r="B104" i="6"/>
  <c r="B100" i="7" s="1"/>
  <c r="B100" i="14" s="1"/>
  <c r="B105" i="6"/>
  <c r="B101" i="7" s="1"/>
  <c r="B101" i="14" s="1"/>
  <c r="B95" i="6"/>
  <c r="B91" i="7" s="1"/>
  <c r="B91" i="14" s="1"/>
  <c r="B96" i="6"/>
  <c r="B92" i="7" s="1"/>
  <c r="B92" i="14" s="1"/>
  <c r="B97" i="6"/>
  <c r="B93" i="7" s="1"/>
  <c r="B93" i="14" s="1"/>
  <c r="B98" i="6"/>
  <c r="B94" i="7" s="1"/>
  <c r="B94" i="14" s="1"/>
  <c r="B99" i="6"/>
  <c r="B95" i="7" s="1"/>
  <c r="B95" i="14" s="1"/>
  <c r="B100" i="6"/>
  <c r="B96" i="7" s="1"/>
  <c r="B96" i="14" s="1"/>
  <c r="B94" i="6"/>
  <c r="B90" i="7" s="1"/>
  <c r="B90" i="14" s="1"/>
  <c r="D91" i="6"/>
  <c r="D90" i="6"/>
  <c r="D68" i="6"/>
  <c r="D69" i="6"/>
  <c r="D70" i="6"/>
  <c r="D71" i="6"/>
  <c r="D72" i="6"/>
  <c r="D73" i="6"/>
  <c r="D74" i="6"/>
  <c r="D75" i="6"/>
  <c r="D76" i="6"/>
  <c r="D77" i="6"/>
  <c r="D78" i="6"/>
  <c r="D79" i="6"/>
  <c r="D80" i="6"/>
  <c r="D81" i="6"/>
  <c r="D82" i="6"/>
  <c r="D83" i="6"/>
  <c r="D84" i="6"/>
  <c r="D85" i="6"/>
  <c r="D86" i="6"/>
  <c r="B28" i="6"/>
  <c r="B22" i="14" s="1"/>
  <c r="C76" i="6"/>
  <c r="C77" i="6"/>
  <c r="C78" i="6"/>
  <c r="C79" i="6"/>
  <c r="C80" i="6"/>
  <c r="C81" i="6"/>
  <c r="C75" i="14" s="1"/>
  <c r="C82" i="6"/>
  <c r="C83" i="6"/>
  <c r="C77" i="14" s="1"/>
  <c r="C84" i="6"/>
  <c r="C85" i="6"/>
  <c r="C86" i="6"/>
  <c r="B66" i="6"/>
  <c r="B67" i="6"/>
  <c r="B68" i="6"/>
  <c r="B62" i="14" s="1"/>
  <c r="B69" i="6"/>
  <c r="B70" i="6"/>
  <c r="B64" i="14" s="1"/>
  <c r="B71" i="6"/>
  <c r="B65" i="14" s="1"/>
  <c r="B72" i="6"/>
  <c r="B66" i="14" s="1"/>
  <c r="B73" i="6"/>
  <c r="B67" i="14" s="1"/>
  <c r="B74" i="6"/>
  <c r="B75" i="6"/>
  <c r="B69" i="14" s="1"/>
  <c r="B76" i="6"/>
  <c r="B70" i="14" s="1"/>
  <c r="B82" i="6"/>
  <c r="B76" i="14" s="1"/>
  <c r="B83" i="6"/>
  <c r="B84" i="6"/>
  <c r="B85" i="6"/>
  <c r="B79" i="14" s="1"/>
  <c r="B91" i="6"/>
  <c r="B85" i="14" s="1"/>
  <c r="B90" i="6"/>
  <c r="B89" i="6"/>
  <c r="B83" i="14" s="1"/>
  <c r="B86" i="6"/>
  <c r="B78" i="6"/>
  <c r="B79" i="6"/>
  <c r="B80" i="6"/>
  <c r="B81" i="6"/>
  <c r="B75" i="14" s="1"/>
  <c r="B77" i="6"/>
  <c r="B71" i="14" s="1"/>
  <c r="B65" i="6"/>
  <c r="K59" i="6"/>
  <c r="E53" i="12" s="1"/>
  <c r="K60" i="6"/>
  <c r="K61" i="6"/>
  <c r="K62" i="6"/>
  <c r="K51" i="6"/>
  <c r="E45" i="12" s="1"/>
  <c r="K52" i="6"/>
  <c r="E46" i="12" s="1"/>
  <c r="K53" i="6"/>
  <c r="E47" i="12" s="1"/>
  <c r="K54" i="6"/>
  <c r="K55" i="6"/>
  <c r="K56" i="6"/>
  <c r="K57" i="6"/>
  <c r="E51" i="12" s="1"/>
  <c r="D58" i="6"/>
  <c r="D59" i="6"/>
  <c r="D60" i="6"/>
  <c r="D61" i="6"/>
  <c r="D62" i="6"/>
  <c r="D63" i="6"/>
  <c r="C59" i="6"/>
  <c r="C53" i="14" s="1"/>
  <c r="C60" i="6"/>
  <c r="C61" i="6"/>
  <c r="C55" i="14" s="1"/>
  <c r="C62" i="6"/>
  <c r="C63" i="6"/>
  <c r="C57" i="14" s="1"/>
  <c r="B63" i="6"/>
  <c r="B57" i="14" s="1"/>
  <c r="B62" i="6"/>
  <c r="B61" i="6"/>
  <c r="B55" i="14" s="1"/>
  <c r="B60" i="6"/>
  <c r="D51" i="6"/>
  <c r="D52" i="6"/>
  <c r="D53" i="6"/>
  <c r="D54" i="6"/>
  <c r="D55" i="6"/>
  <c r="D56" i="6"/>
  <c r="D57" i="6"/>
  <c r="C52" i="6"/>
  <c r="C53" i="6"/>
  <c r="C47" i="14" s="1"/>
  <c r="C54" i="6"/>
  <c r="C55" i="6"/>
  <c r="C49" i="14" s="1"/>
  <c r="C56" i="6"/>
  <c r="C50" i="14" s="1"/>
  <c r="C57" i="6"/>
  <c r="C51" i="14" s="1"/>
  <c r="C58" i="6"/>
  <c r="C51" i="6"/>
  <c r="C45" i="14" s="1"/>
  <c r="B59" i="6"/>
  <c r="B53" i="14" s="1"/>
  <c r="B58" i="6"/>
  <c r="B57" i="6"/>
  <c r="B51" i="14" s="1"/>
  <c r="B56" i="6"/>
  <c r="B51" i="6"/>
  <c r="B45" i="14" s="1"/>
  <c r="B52" i="6"/>
  <c r="B46" i="14" s="1"/>
  <c r="B53" i="6"/>
  <c r="B54" i="6"/>
  <c r="B55" i="6"/>
  <c r="B49" i="14" s="1"/>
  <c r="B50" i="6"/>
  <c r="B44" i="14" s="1"/>
  <c r="B48" i="6"/>
  <c r="B42" i="14" s="1"/>
  <c r="B36" i="6"/>
  <c r="B37" i="6"/>
  <c r="B31" i="14" s="1"/>
  <c r="B38" i="6"/>
  <c r="B32" i="14" s="1"/>
  <c r="B39" i="6"/>
  <c r="B40" i="6"/>
  <c r="B41" i="6"/>
  <c r="B35" i="14" s="1"/>
  <c r="B42" i="6"/>
  <c r="B43" i="6"/>
  <c r="B44" i="6"/>
  <c r="B45" i="6"/>
  <c r="B39" i="14" s="1"/>
  <c r="B46" i="6"/>
  <c r="B35" i="6"/>
  <c r="B29" i="14" s="1"/>
  <c r="B30" i="6"/>
  <c r="B31" i="6"/>
  <c r="B25" i="14" s="1"/>
  <c r="B29" i="6"/>
  <c r="B23" i="14" s="1"/>
  <c r="B33" i="6"/>
  <c r="B17" i="6"/>
  <c r="B11" i="14" s="1"/>
  <c r="B18" i="6"/>
  <c r="B12" i="14" s="1"/>
  <c r="B19" i="6"/>
  <c r="B13" i="14" s="1"/>
  <c r="B20" i="6"/>
  <c r="B21" i="6"/>
  <c r="B22" i="6"/>
  <c r="B16" i="14" s="1"/>
  <c r="B23" i="6"/>
  <c r="B17" i="14" s="1"/>
  <c r="B24" i="6"/>
  <c r="B25" i="6"/>
  <c r="B19" i="14" s="1"/>
  <c r="B26" i="6"/>
  <c r="B20" i="14" s="1"/>
  <c r="B16" i="6"/>
  <c r="C123" i="6"/>
  <c r="C123" i="7" s="1"/>
  <c r="C122" i="6"/>
  <c r="C122" i="7" s="1"/>
  <c r="C121" i="7"/>
  <c r="C120" i="7"/>
  <c r="C121" i="6"/>
  <c r="C119" i="7" s="1"/>
  <c r="C118" i="7"/>
  <c r="C117" i="7"/>
  <c r="C120" i="6"/>
  <c r="C116" i="7" s="1"/>
  <c r="C119" i="6"/>
  <c r="C115" i="7" s="1"/>
  <c r="C118" i="6"/>
  <c r="C114" i="7" s="1"/>
  <c r="C117" i="6"/>
  <c r="C113" i="7" s="1"/>
  <c r="C116" i="6"/>
  <c r="C112" i="7" s="1"/>
  <c r="C115" i="6"/>
  <c r="C111" i="7" s="1"/>
  <c r="C114" i="6"/>
  <c r="C110" i="7" s="1"/>
  <c r="C113" i="6"/>
  <c r="C109" i="7" s="1"/>
  <c r="C112" i="6"/>
  <c r="C108" i="7" s="1"/>
  <c r="C111" i="6"/>
  <c r="C107" i="7" s="1"/>
  <c r="C110" i="6"/>
  <c r="C106" i="7" s="1"/>
  <c r="C109" i="6"/>
  <c r="C105" i="7" s="1"/>
  <c r="C108" i="6"/>
  <c r="C104" i="7" s="1"/>
  <c r="C107" i="6"/>
  <c r="C103" i="7" s="1"/>
  <c r="C106" i="6"/>
  <c r="C102" i="7" s="1"/>
  <c r="C105" i="6"/>
  <c r="C101" i="7" s="1"/>
  <c r="C104" i="6"/>
  <c r="C100" i="7" s="1"/>
  <c r="C103" i="6"/>
  <c r="C99" i="7" s="1"/>
  <c r="C102" i="6"/>
  <c r="C98" i="7" s="1"/>
  <c r="C101" i="6"/>
  <c r="C97" i="7" s="1"/>
  <c r="C100" i="6"/>
  <c r="C96" i="7" s="1"/>
  <c r="C99" i="6"/>
  <c r="C95" i="7" s="1"/>
  <c r="C98" i="6"/>
  <c r="C94" i="7" s="1"/>
  <c r="C97" i="6"/>
  <c r="C93" i="7" s="1"/>
  <c r="C96" i="6"/>
  <c r="C92" i="7" s="1"/>
  <c r="C95" i="6"/>
  <c r="C91" i="7" s="1"/>
  <c r="C71" i="6"/>
  <c r="C73" i="6"/>
  <c r="C67" i="14" s="1"/>
  <c r="C72" i="6"/>
  <c r="C66" i="14" s="1"/>
  <c r="C66" i="6"/>
  <c r="C60" i="14" s="1"/>
  <c r="C67" i="6"/>
  <c r="C70" i="6"/>
  <c r="C64" i="14" s="1"/>
  <c r="C91" i="6"/>
  <c r="C85" i="14" s="1"/>
  <c r="C69" i="6"/>
  <c r="C68" i="6"/>
  <c r="C62" i="14" s="1"/>
  <c r="C75" i="6"/>
  <c r="C74" i="6"/>
  <c r="C68" i="14" s="1"/>
  <c r="C48" i="6"/>
  <c r="C42" i="14" s="1"/>
  <c r="C38" i="6"/>
  <c r="C32" i="14" s="1"/>
  <c r="C39" i="6"/>
  <c r="C33" i="14" s="1"/>
  <c r="C40" i="6"/>
  <c r="C41" i="6"/>
  <c r="C42" i="6"/>
  <c r="C43" i="6"/>
  <c r="C37" i="14" s="1"/>
  <c r="C44" i="6"/>
  <c r="C45" i="6"/>
  <c r="C39" i="14" s="1"/>
  <c r="C37" i="6"/>
  <c r="C31" i="14" s="1"/>
  <c r="C36" i="6"/>
  <c r="C30" i="14" s="1"/>
  <c r="C46" i="6"/>
  <c r="C31" i="6"/>
  <c r="C30" i="6"/>
  <c r="C24" i="14" s="1"/>
  <c r="C29" i="6"/>
  <c r="C23" i="14" s="1"/>
  <c r="C33" i="6"/>
  <c r="C27" i="14" s="1"/>
  <c r="C32" i="6"/>
  <c r="C17" i="6"/>
  <c r="C11" i="14" s="1"/>
  <c r="C18" i="6"/>
  <c r="C12" i="14" s="1"/>
  <c r="C19" i="6"/>
  <c r="C13" i="14" s="1"/>
  <c r="C20" i="6"/>
  <c r="C21" i="6"/>
  <c r="C22" i="6"/>
  <c r="C23" i="6"/>
  <c r="C17" i="14" s="1"/>
  <c r="C24" i="6"/>
  <c r="C25" i="6"/>
  <c r="C19" i="14" s="1"/>
  <c r="C26" i="6"/>
  <c r="C20" i="14" s="1"/>
  <c r="C16" i="6"/>
  <c r="D30" i="6"/>
  <c r="D31" i="6"/>
  <c r="D29" i="6"/>
  <c r="D46" i="6"/>
  <c r="D96" i="6"/>
  <c r="D97" i="6"/>
  <c r="D98" i="6"/>
  <c r="D99" i="6"/>
  <c r="D100" i="6"/>
  <c r="D101" i="6"/>
  <c r="D102" i="6"/>
  <c r="D103" i="6"/>
  <c r="D104" i="6"/>
  <c r="D105" i="6"/>
  <c r="D106" i="6"/>
  <c r="D107" i="6"/>
  <c r="D108" i="6"/>
  <c r="D109" i="6"/>
  <c r="D110" i="6"/>
  <c r="D111" i="6"/>
  <c r="D112" i="6"/>
  <c r="D113" i="6"/>
  <c r="D114" i="6"/>
  <c r="D115" i="6"/>
  <c r="D116" i="6"/>
  <c r="D117" i="6"/>
  <c r="D118" i="6"/>
  <c r="D119" i="6"/>
  <c r="D120" i="6"/>
  <c r="D121" i="6"/>
  <c r="D122" i="6"/>
  <c r="D123" i="6"/>
  <c r="D95" i="6"/>
  <c r="D67" i="6"/>
  <c r="D66" i="6"/>
  <c r="D48" i="6"/>
  <c r="D36" i="6"/>
  <c r="D37" i="6"/>
  <c r="D38" i="6"/>
  <c r="D39" i="6"/>
  <c r="D40" i="6"/>
  <c r="D41" i="6"/>
  <c r="D42" i="6"/>
  <c r="D43" i="6"/>
  <c r="D44" i="6"/>
  <c r="D45" i="6"/>
  <c r="D33" i="6"/>
  <c r="D17" i="6"/>
  <c r="D18" i="6"/>
  <c r="D19" i="6"/>
  <c r="D20" i="6"/>
  <c r="D21" i="6"/>
  <c r="D22" i="6"/>
  <c r="D23" i="6"/>
  <c r="D24" i="6"/>
  <c r="D25" i="6"/>
  <c r="D26" i="6"/>
  <c r="D16" i="6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95" i="1"/>
  <c r="D96" i="1"/>
  <c r="D65" i="1"/>
  <c r="D66" i="1"/>
  <c r="D67" i="1"/>
  <c r="D68" i="1"/>
  <c r="D69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90" i="1"/>
  <c r="D92" i="1"/>
  <c r="D61" i="1"/>
  <c r="D62" i="1"/>
  <c r="D63" i="1"/>
  <c r="D64" i="1"/>
  <c r="D51" i="1"/>
  <c r="D52" i="1"/>
  <c r="D53" i="1"/>
  <c r="D54" i="1"/>
  <c r="D55" i="1"/>
  <c r="D56" i="1"/>
  <c r="D57" i="1"/>
  <c r="D45" i="1"/>
  <c r="D17" i="1"/>
  <c r="F17" i="1" s="1"/>
  <c r="G17" i="1" s="1"/>
  <c r="E11" i="11"/>
  <c r="Q107" i="6" l="1"/>
  <c r="E56" i="7"/>
  <c r="E56" i="14"/>
  <c r="E56" i="13"/>
  <c r="E80" i="7"/>
  <c r="E80" i="14"/>
  <c r="E80" i="13"/>
  <c r="E51" i="7"/>
  <c r="E51" i="13"/>
  <c r="E51" i="14"/>
  <c r="E55" i="7"/>
  <c r="E55" i="13"/>
  <c r="E55" i="14"/>
  <c r="E84" i="7"/>
  <c r="E84" i="13"/>
  <c r="E84" i="14"/>
  <c r="E80" i="12"/>
  <c r="E54" i="7"/>
  <c r="E54" i="13"/>
  <c r="E54" i="14"/>
  <c r="E49" i="7"/>
  <c r="E49" i="13"/>
  <c r="E49" i="14"/>
  <c r="E53" i="7"/>
  <c r="E53" i="14"/>
  <c r="E53" i="13"/>
  <c r="E91" i="13"/>
  <c r="E91" i="12"/>
  <c r="E91" i="14"/>
  <c r="E48" i="7"/>
  <c r="E48" i="14"/>
  <c r="E48" i="13"/>
  <c r="E23" i="7"/>
  <c r="E23" i="13"/>
  <c r="E23" i="14"/>
  <c r="E54" i="12"/>
  <c r="E50" i="7"/>
  <c r="E50" i="13"/>
  <c r="E50" i="14"/>
  <c r="E47" i="7"/>
  <c r="E47" i="14"/>
  <c r="E47" i="13"/>
  <c r="E24" i="7"/>
  <c r="E24" i="14"/>
  <c r="E24" i="13"/>
  <c r="E24" i="12"/>
  <c r="E48" i="12"/>
  <c r="E55" i="12"/>
  <c r="E84" i="12"/>
  <c r="E46" i="7"/>
  <c r="E46" i="14"/>
  <c r="E46" i="13"/>
  <c r="E25" i="7"/>
  <c r="E25" i="14"/>
  <c r="E25" i="13"/>
  <c r="D90" i="12"/>
  <c r="D90" i="14"/>
  <c r="D90" i="13"/>
  <c r="E81" i="14"/>
  <c r="E81" i="13"/>
  <c r="E81" i="12"/>
  <c r="E49" i="12"/>
  <c r="E56" i="12"/>
  <c r="E45" i="7"/>
  <c r="E45" i="14"/>
  <c r="E45" i="13"/>
  <c r="E25" i="12"/>
  <c r="E50" i="12"/>
  <c r="C67" i="12"/>
  <c r="C24" i="12"/>
  <c r="B36" i="12"/>
  <c r="B36" i="14"/>
  <c r="B52" i="12"/>
  <c r="B52" i="14"/>
  <c r="C54" i="13"/>
  <c r="C54" i="14"/>
  <c r="B72" i="12"/>
  <c r="B72" i="14"/>
  <c r="B63" i="12"/>
  <c r="B63" i="14"/>
  <c r="C76" i="12"/>
  <c r="C76" i="14"/>
  <c r="B81" i="12"/>
  <c r="B81" i="14"/>
  <c r="B12" i="12"/>
  <c r="E87" i="6"/>
  <c r="F87" i="6" s="1"/>
  <c r="G87" i="6" s="1"/>
  <c r="C81" i="14"/>
  <c r="C81" i="13"/>
  <c r="C46" i="12"/>
  <c r="C46" i="14"/>
  <c r="B54" i="12"/>
  <c r="B54" i="14"/>
  <c r="B80" i="12"/>
  <c r="B80" i="14"/>
  <c r="C18" i="12"/>
  <c r="C18" i="14"/>
  <c r="C48" i="12"/>
  <c r="C48" i="14"/>
  <c r="C65" i="12"/>
  <c r="C65" i="14"/>
  <c r="B15" i="12"/>
  <c r="B15" i="14"/>
  <c r="B61" i="12"/>
  <c r="B61" i="14"/>
  <c r="C74" i="13"/>
  <c r="C74" i="14"/>
  <c r="B20" i="12"/>
  <c r="B27" i="12"/>
  <c r="B27" i="14"/>
  <c r="B37" i="12"/>
  <c r="B37" i="14"/>
  <c r="B77" i="12"/>
  <c r="B77" i="14"/>
  <c r="C69" i="12"/>
  <c r="C69" i="14"/>
  <c r="B24" i="12"/>
  <c r="B24" i="14"/>
  <c r="B34" i="12"/>
  <c r="B34" i="14"/>
  <c r="B48" i="12"/>
  <c r="B48" i="14"/>
  <c r="C14" i="12"/>
  <c r="C14" i="14"/>
  <c r="C25" i="12"/>
  <c r="C25" i="14"/>
  <c r="C35" i="12"/>
  <c r="C35" i="14"/>
  <c r="C63" i="12"/>
  <c r="C63" i="14"/>
  <c r="B14" i="12"/>
  <c r="B14" i="14"/>
  <c r="B33" i="12"/>
  <c r="B33" i="14"/>
  <c r="B47" i="12"/>
  <c r="B47" i="14"/>
  <c r="C52" i="12"/>
  <c r="C52" i="14"/>
  <c r="B56" i="12"/>
  <c r="B56" i="14"/>
  <c r="B59" i="12"/>
  <c r="B59" i="14"/>
  <c r="B84" i="12"/>
  <c r="B84" i="14"/>
  <c r="B68" i="12"/>
  <c r="B68" i="14"/>
  <c r="B60" i="12"/>
  <c r="B60" i="14"/>
  <c r="C73" i="12"/>
  <c r="C73" i="14"/>
  <c r="B69" i="12"/>
  <c r="C38" i="12"/>
  <c r="C38" i="14"/>
  <c r="C16" i="12"/>
  <c r="C16" i="14"/>
  <c r="C15" i="12"/>
  <c r="C15" i="14"/>
  <c r="C36" i="12"/>
  <c r="C36" i="14"/>
  <c r="C10" i="12"/>
  <c r="C10" i="14"/>
  <c r="C40" i="12"/>
  <c r="C40" i="14"/>
  <c r="C34" i="12"/>
  <c r="C34" i="14"/>
  <c r="B10" i="12"/>
  <c r="B10" i="14"/>
  <c r="B40" i="12"/>
  <c r="B40" i="14"/>
  <c r="C80" i="12"/>
  <c r="C80" i="14"/>
  <c r="C72" i="12"/>
  <c r="C72" i="14"/>
  <c r="B44" i="12"/>
  <c r="C57" i="12"/>
  <c r="B18" i="12"/>
  <c r="B18" i="14"/>
  <c r="B73" i="12"/>
  <c r="B73" i="14"/>
  <c r="C79" i="13"/>
  <c r="C79" i="14"/>
  <c r="C71" i="13"/>
  <c r="C71" i="14"/>
  <c r="B16" i="12"/>
  <c r="B76" i="12"/>
  <c r="C61" i="12"/>
  <c r="C61" i="14"/>
  <c r="B38" i="12"/>
  <c r="B38" i="14"/>
  <c r="B30" i="12"/>
  <c r="B30" i="14"/>
  <c r="B50" i="12"/>
  <c r="B50" i="14"/>
  <c r="C56" i="12"/>
  <c r="C56" i="14"/>
  <c r="B74" i="12"/>
  <c r="B74" i="14"/>
  <c r="B78" i="12"/>
  <c r="B78" i="14"/>
  <c r="C78" i="12"/>
  <c r="C78" i="14"/>
  <c r="C70" i="12"/>
  <c r="C70" i="14"/>
  <c r="B70" i="12"/>
  <c r="C54" i="12"/>
  <c r="C13" i="7"/>
  <c r="C13" i="13"/>
  <c r="B13" i="13"/>
  <c r="B13" i="7"/>
  <c r="B32" i="13"/>
  <c r="B32" i="7"/>
  <c r="B46" i="13"/>
  <c r="B46" i="7"/>
  <c r="C51" i="7"/>
  <c r="C51" i="13"/>
  <c r="B71" i="13"/>
  <c r="B71" i="7"/>
  <c r="B101" i="13"/>
  <c r="B101" i="12"/>
  <c r="B113" i="13"/>
  <c r="B113" i="12"/>
  <c r="C20" i="7"/>
  <c r="C20" i="13"/>
  <c r="C12" i="7"/>
  <c r="C12" i="13"/>
  <c r="C30" i="7"/>
  <c r="C30" i="13"/>
  <c r="C33" i="7"/>
  <c r="C33" i="13"/>
  <c r="E70" i="6"/>
  <c r="F70" i="6" s="1"/>
  <c r="G70" i="6" s="1"/>
  <c r="C64" i="13"/>
  <c r="B20" i="7"/>
  <c r="B20" i="13"/>
  <c r="B12" i="7"/>
  <c r="B12" i="13"/>
  <c r="B39" i="7"/>
  <c r="B39" i="13"/>
  <c r="B31" i="7"/>
  <c r="B31" i="13"/>
  <c r="B45" i="13"/>
  <c r="B45" i="7"/>
  <c r="C50" i="7"/>
  <c r="C50" i="13"/>
  <c r="C57" i="7"/>
  <c r="C57" i="13"/>
  <c r="B75" i="13"/>
  <c r="B75" i="7"/>
  <c r="B79" i="13"/>
  <c r="B79" i="7"/>
  <c r="B66" i="7"/>
  <c r="B66" i="13"/>
  <c r="B90" i="13"/>
  <c r="B90" i="12"/>
  <c r="B100" i="13"/>
  <c r="B100" i="12"/>
  <c r="B120" i="13"/>
  <c r="B120" i="12"/>
  <c r="B112" i="13"/>
  <c r="B112" i="12"/>
  <c r="B104" i="13"/>
  <c r="B104" i="12"/>
  <c r="C12" i="12"/>
  <c r="C20" i="12"/>
  <c r="B32" i="12"/>
  <c r="B46" i="12"/>
  <c r="C74" i="12"/>
  <c r="C10" i="7"/>
  <c r="C10" i="13"/>
  <c r="B10" i="13"/>
  <c r="B10" i="7"/>
  <c r="B40" i="13"/>
  <c r="B40" i="7"/>
  <c r="B57" i="7"/>
  <c r="B57" i="13"/>
  <c r="B85" i="13"/>
  <c r="B85" i="7"/>
  <c r="B67" i="13"/>
  <c r="B67" i="7"/>
  <c r="C80" i="7"/>
  <c r="C80" i="13"/>
  <c r="C72" i="7"/>
  <c r="C72" i="13"/>
  <c r="B121" i="13"/>
  <c r="B121" i="12"/>
  <c r="B105" i="13"/>
  <c r="B105" i="12"/>
  <c r="C19" i="7"/>
  <c r="C19" i="13"/>
  <c r="C11" i="7"/>
  <c r="C11" i="13"/>
  <c r="C31" i="7"/>
  <c r="C31" i="13"/>
  <c r="C32" i="7"/>
  <c r="C32" i="13"/>
  <c r="C61" i="7"/>
  <c r="C61" i="13"/>
  <c r="B19" i="13"/>
  <c r="B19" i="7"/>
  <c r="B11" i="7"/>
  <c r="B11" i="13"/>
  <c r="B38" i="7"/>
  <c r="B38" i="13"/>
  <c r="B30" i="7"/>
  <c r="B30" i="13"/>
  <c r="B50" i="13"/>
  <c r="B50" i="7"/>
  <c r="E55" i="6"/>
  <c r="F55" i="6" s="1"/>
  <c r="G55" i="6" s="1"/>
  <c r="C49" i="13"/>
  <c r="C56" i="7"/>
  <c r="C56" i="13"/>
  <c r="B74" i="7"/>
  <c r="B74" i="13"/>
  <c r="B78" i="13"/>
  <c r="B78" i="7"/>
  <c r="B65" i="7"/>
  <c r="B65" i="13"/>
  <c r="E84" i="6"/>
  <c r="F84" i="6" s="1"/>
  <c r="G84" i="6" s="1"/>
  <c r="C78" i="13"/>
  <c r="E76" i="6"/>
  <c r="F76" i="6" s="1"/>
  <c r="G76" i="6" s="1"/>
  <c r="C70" i="13"/>
  <c r="B96" i="13"/>
  <c r="B96" i="12"/>
  <c r="B99" i="12"/>
  <c r="B99" i="13"/>
  <c r="B119" i="13"/>
  <c r="B119" i="12"/>
  <c r="B111" i="12"/>
  <c r="B111" i="13"/>
  <c r="B103" i="12"/>
  <c r="B103" i="13"/>
  <c r="C30" i="12"/>
  <c r="C32" i="12"/>
  <c r="C50" i="12"/>
  <c r="B65" i="12"/>
  <c r="B67" i="12"/>
  <c r="C85" i="7"/>
  <c r="C85" i="13"/>
  <c r="B51" i="13"/>
  <c r="B51" i="7"/>
  <c r="B64" i="13"/>
  <c r="B64" i="7"/>
  <c r="B22" i="13"/>
  <c r="B22" i="7"/>
  <c r="B98" i="13"/>
  <c r="B98" i="12"/>
  <c r="C17" i="7"/>
  <c r="C17" i="13"/>
  <c r="C27" i="7"/>
  <c r="C27" i="13"/>
  <c r="C38" i="7"/>
  <c r="C38" i="13"/>
  <c r="C68" i="7"/>
  <c r="C68" i="13"/>
  <c r="C66" i="7"/>
  <c r="C66" i="13"/>
  <c r="B17" i="13"/>
  <c r="B17" i="7"/>
  <c r="B23" i="13"/>
  <c r="B23" i="7"/>
  <c r="B36" i="13"/>
  <c r="B36" i="7"/>
  <c r="B44" i="13"/>
  <c r="B44" i="7"/>
  <c r="B52" i="13"/>
  <c r="B52" i="7"/>
  <c r="C47" i="7"/>
  <c r="C47" i="13"/>
  <c r="B72" i="7"/>
  <c r="B72" i="13"/>
  <c r="B76" i="13"/>
  <c r="B76" i="7"/>
  <c r="B63" i="13"/>
  <c r="B63" i="7"/>
  <c r="E82" i="6"/>
  <c r="F82" i="6" s="1"/>
  <c r="G82" i="6" s="1"/>
  <c r="C76" i="13"/>
  <c r="B94" i="13"/>
  <c r="B94" i="12"/>
  <c r="B97" i="13"/>
  <c r="B97" i="12"/>
  <c r="B117" i="13"/>
  <c r="B117" i="12"/>
  <c r="B109" i="13"/>
  <c r="B109" i="12"/>
  <c r="B11" i="12"/>
  <c r="B13" i="12"/>
  <c r="B17" i="12"/>
  <c r="B19" i="12"/>
  <c r="B71" i="12"/>
  <c r="B75" i="12"/>
  <c r="B79" i="12"/>
  <c r="C18" i="7"/>
  <c r="C18" i="13"/>
  <c r="C39" i="7"/>
  <c r="C39" i="13"/>
  <c r="C60" i="7"/>
  <c r="C60" i="13"/>
  <c r="B27" i="13"/>
  <c r="B27" i="7"/>
  <c r="B42" i="13"/>
  <c r="B42" i="7"/>
  <c r="C48" i="7"/>
  <c r="C48" i="13"/>
  <c r="C55" i="7"/>
  <c r="C55" i="13"/>
  <c r="B73" i="7"/>
  <c r="B73" i="13"/>
  <c r="B77" i="13"/>
  <c r="B77" i="7"/>
  <c r="E83" i="6"/>
  <c r="F83" i="6" s="1"/>
  <c r="G83" i="6" s="1"/>
  <c r="C77" i="13"/>
  <c r="B110" i="13"/>
  <c r="B110" i="12"/>
  <c r="C16" i="7"/>
  <c r="C16" i="13"/>
  <c r="C23" i="7"/>
  <c r="C23" i="13"/>
  <c r="C37" i="7"/>
  <c r="C37" i="13"/>
  <c r="C69" i="7"/>
  <c r="C69" i="13"/>
  <c r="C67" i="7"/>
  <c r="C67" i="13"/>
  <c r="B16" i="13"/>
  <c r="B16" i="7"/>
  <c r="B25" i="13"/>
  <c r="B25" i="7"/>
  <c r="B35" i="13"/>
  <c r="B35" i="7"/>
  <c r="B49" i="7"/>
  <c r="B49" i="13"/>
  <c r="B53" i="13"/>
  <c r="B53" i="7"/>
  <c r="C46" i="7"/>
  <c r="C46" i="13"/>
  <c r="B54" i="13"/>
  <c r="B54" i="7"/>
  <c r="C53" i="7"/>
  <c r="C53" i="13"/>
  <c r="B80" i="7"/>
  <c r="B80" i="13"/>
  <c r="B70" i="13"/>
  <c r="B70" i="7"/>
  <c r="B62" i="13"/>
  <c r="B62" i="7"/>
  <c r="E81" i="6"/>
  <c r="F81" i="6" s="1"/>
  <c r="G81" i="6" s="1"/>
  <c r="C75" i="13"/>
  <c r="B93" i="13"/>
  <c r="B93" i="12"/>
  <c r="B102" i="13"/>
  <c r="B102" i="12"/>
  <c r="B116" i="13"/>
  <c r="B116" i="12"/>
  <c r="B108" i="13"/>
  <c r="B108" i="12"/>
  <c r="C11" i="12"/>
  <c r="C13" i="12"/>
  <c r="C17" i="12"/>
  <c r="C19" i="12"/>
  <c r="B23" i="12"/>
  <c r="C27" i="12"/>
  <c r="B31" i="12"/>
  <c r="B35" i="12"/>
  <c r="B39" i="12"/>
  <c r="B45" i="12"/>
  <c r="B49" i="12"/>
  <c r="B51" i="12"/>
  <c r="B53" i="12"/>
  <c r="C71" i="12"/>
  <c r="C75" i="12"/>
  <c r="C77" i="12"/>
  <c r="C79" i="12"/>
  <c r="B85" i="12"/>
  <c r="C34" i="7"/>
  <c r="C34" i="13"/>
  <c r="B37" i="7"/>
  <c r="B37" i="13"/>
  <c r="B118" i="12"/>
  <c r="B118" i="13"/>
  <c r="B22" i="12"/>
  <c r="C15" i="7"/>
  <c r="C15" i="13"/>
  <c r="E30" i="6"/>
  <c r="F30" i="6" s="1"/>
  <c r="G30" i="6" s="1"/>
  <c r="C24" i="13"/>
  <c r="C36" i="7"/>
  <c r="C36" i="13"/>
  <c r="C62" i="7"/>
  <c r="C62" i="13"/>
  <c r="C65" i="7"/>
  <c r="C65" i="13"/>
  <c r="B15" i="13"/>
  <c r="B15" i="7"/>
  <c r="B24" i="7"/>
  <c r="B24" i="13"/>
  <c r="B34" i="7"/>
  <c r="B34" i="13"/>
  <c r="B48" i="7"/>
  <c r="B48" i="13"/>
  <c r="C45" i="7"/>
  <c r="C45" i="13"/>
  <c r="B55" i="7"/>
  <c r="B55" i="13"/>
  <c r="B83" i="7"/>
  <c r="B83" i="13"/>
  <c r="B69" i="7"/>
  <c r="B69" i="13"/>
  <c r="B61" i="7"/>
  <c r="B61" i="13"/>
  <c r="B92" i="13"/>
  <c r="B92" i="12"/>
  <c r="B123" i="12"/>
  <c r="B123" i="13"/>
  <c r="B115" i="12"/>
  <c r="B115" i="13"/>
  <c r="B107" i="12"/>
  <c r="B107" i="13"/>
  <c r="B81" i="13"/>
  <c r="B81" i="7"/>
  <c r="C23" i="12"/>
  <c r="C31" i="12"/>
  <c r="C33" i="12"/>
  <c r="C37" i="12"/>
  <c r="C39" i="12"/>
  <c r="B42" i="12"/>
  <c r="C45" i="12"/>
  <c r="C47" i="12"/>
  <c r="C49" i="12"/>
  <c r="C51" i="12"/>
  <c r="C53" i="12"/>
  <c r="B55" i="12"/>
  <c r="C60" i="12"/>
  <c r="B62" i="12"/>
  <c r="B64" i="12"/>
  <c r="B66" i="12"/>
  <c r="B83" i="12"/>
  <c r="C85" i="12"/>
  <c r="C40" i="7"/>
  <c r="C40" i="13"/>
  <c r="C42" i="7"/>
  <c r="C42" i="13"/>
  <c r="B18" i="7"/>
  <c r="B18" i="13"/>
  <c r="B95" i="12"/>
  <c r="B95" i="13"/>
  <c r="C14" i="7"/>
  <c r="C14" i="13"/>
  <c r="C25" i="7"/>
  <c r="C25" i="13"/>
  <c r="C35" i="7"/>
  <c r="C35" i="13"/>
  <c r="C63" i="7"/>
  <c r="C63" i="13"/>
  <c r="B14" i="13"/>
  <c r="B14" i="7"/>
  <c r="B29" i="7"/>
  <c r="B29" i="13"/>
  <c r="B33" i="7"/>
  <c r="B33" i="13"/>
  <c r="B47" i="7"/>
  <c r="B47" i="13"/>
  <c r="C52" i="7"/>
  <c r="C52" i="13"/>
  <c r="B56" i="7"/>
  <c r="B56" i="13"/>
  <c r="B59" i="13"/>
  <c r="B59" i="7"/>
  <c r="B84" i="13"/>
  <c r="B84" i="7"/>
  <c r="B68" i="13"/>
  <c r="B68" i="7"/>
  <c r="B60" i="7"/>
  <c r="B60" i="13"/>
  <c r="C73" i="7"/>
  <c r="C73" i="13"/>
  <c r="B91" i="12"/>
  <c r="B91" i="13"/>
  <c r="B122" i="13"/>
  <c r="B122" i="12"/>
  <c r="B114" i="13"/>
  <c r="B114" i="12"/>
  <c r="B106" i="13"/>
  <c r="B106" i="12"/>
  <c r="B25" i="12"/>
  <c r="B29" i="12"/>
  <c r="C42" i="12"/>
  <c r="C55" i="12"/>
  <c r="B57" i="12"/>
  <c r="C62" i="12"/>
  <c r="C64" i="12"/>
  <c r="C66" i="12"/>
  <c r="C68" i="12"/>
  <c r="E60" i="6"/>
  <c r="F60" i="6" s="1"/>
  <c r="G60" i="6" s="1"/>
  <c r="E85" i="6"/>
  <c r="F85" i="6" s="1"/>
  <c r="G85" i="6" s="1"/>
  <c r="E77" i="6"/>
  <c r="F77" i="6" s="1"/>
  <c r="G77" i="6" s="1"/>
  <c r="E80" i="6"/>
  <c r="F80" i="6" s="1"/>
  <c r="G80" i="6" s="1"/>
  <c r="C79" i="7"/>
  <c r="C71" i="7"/>
  <c r="C75" i="7"/>
  <c r="C54" i="7"/>
  <c r="C24" i="7"/>
  <c r="N24" i="7" s="1"/>
  <c r="C77" i="7"/>
  <c r="C76" i="7"/>
  <c r="C64" i="7"/>
  <c r="E79" i="6"/>
  <c r="C78" i="7"/>
  <c r="C74" i="7"/>
  <c r="C70" i="7"/>
  <c r="C49" i="7"/>
  <c r="E86" i="6"/>
  <c r="F86" i="6" s="1"/>
  <c r="G86" i="6" s="1"/>
  <c r="E78" i="6"/>
  <c r="F78" i="6" s="1"/>
  <c r="G78" i="6" s="1"/>
  <c r="F90" i="6"/>
  <c r="G90" i="6" s="1"/>
  <c r="E31" i="6"/>
  <c r="F31" i="6" s="1"/>
  <c r="G31" i="6" s="1"/>
  <c r="E29" i="6"/>
  <c r="F29" i="6" s="1"/>
  <c r="G29" i="6" s="1"/>
  <c r="Q90" i="6"/>
  <c r="R90" i="6" s="1"/>
  <c r="E56" i="6"/>
  <c r="F56" i="6" s="1"/>
  <c r="G56" i="6" s="1"/>
  <c r="E61" i="6"/>
  <c r="F61" i="6" s="1"/>
  <c r="G61" i="6" s="1"/>
  <c r="E54" i="6"/>
  <c r="F54" i="6" s="1"/>
  <c r="G54" i="6" s="1"/>
  <c r="E59" i="6"/>
  <c r="F59" i="6" s="1"/>
  <c r="G59" i="6" s="1"/>
  <c r="E53" i="6"/>
  <c r="F53" i="6" s="1"/>
  <c r="G53" i="6" s="1"/>
  <c r="E52" i="6"/>
  <c r="F52" i="6" s="1"/>
  <c r="G52" i="6" s="1"/>
  <c r="E51" i="6"/>
  <c r="F51" i="6" s="1"/>
  <c r="G51" i="6" s="1"/>
  <c r="E63" i="6"/>
  <c r="F63" i="6" s="1"/>
  <c r="G63" i="6" s="1"/>
  <c r="E57" i="6"/>
  <c r="F57" i="6" s="1"/>
  <c r="G57" i="6" s="1"/>
  <c r="E62" i="6"/>
  <c r="F62" i="6" s="1"/>
  <c r="G62" i="6" s="1"/>
  <c r="Q57" i="6"/>
  <c r="R57" i="6" s="1"/>
  <c r="Q70" i="6"/>
  <c r="R70" i="6" s="1"/>
  <c r="Q111" i="6"/>
  <c r="Q106" i="6"/>
  <c r="Q98" i="6"/>
  <c r="Q96" i="6"/>
  <c r="Q113" i="6" l="1"/>
  <c r="R113" i="6" s="1"/>
  <c r="R29" i="6"/>
  <c r="Q114" i="6"/>
  <c r="R114" i="6" s="1"/>
  <c r="Q76" i="6"/>
  <c r="R76" i="6" s="1"/>
  <c r="Q120" i="6"/>
  <c r="R120" i="6" s="1"/>
  <c r="Q97" i="6"/>
  <c r="R97" i="6" s="1"/>
  <c r="Q110" i="6"/>
  <c r="R110" i="6" s="1"/>
  <c r="Q104" i="6"/>
  <c r="R104" i="6" s="1"/>
  <c r="Q55" i="6"/>
  <c r="R55" i="6" s="1"/>
  <c r="Q86" i="6"/>
  <c r="R86" i="6" s="1"/>
  <c r="Q116" i="6"/>
  <c r="R116" i="6" s="1"/>
  <c r="Q105" i="6"/>
  <c r="R105" i="6" s="1"/>
  <c r="Q119" i="6"/>
  <c r="R119" i="6" s="1"/>
  <c r="Q118" i="6"/>
  <c r="R118" i="6" s="1"/>
  <c r="Q56" i="6"/>
  <c r="R56" i="6" s="1"/>
  <c r="Q80" i="6"/>
  <c r="R80" i="6" s="1"/>
  <c r="Q100" i="6"/>
  <c r="R100" i="6" s="1"/>
  <c r="Q115" i="6"/>
  <c r="R115" i="6" s="1"/>
  <c r="Q99" i="6"/>
  <c r="R99" i="6" s="1"/>
  <c r="Q122" i="6"/>
  <c r="R122" i="6" s="1"/>
  <c r="Q59" i="6"/>
  <c r="R59" i="6" s="1"/>
  <c r="Q53" i="6"/>
  <c r="R53" i="6" s="1"/>
  <c r="R30" i="6"/>
  <c r="Q77" i="6"/>
  <c r="R77" i="6" s="1"/>
  <c r="Q54" i="6"/>
  <c r="R54" i="6" s="1"/>
  <c r="Q121" i="6"/>
  <c r="R121" i="6" s="1"/>
  <c r="Q109" i="6"/>
  <c r="R109" i="6" s="1"/>
  <c r="Q101" i="6"/>
  <c r="R101" i="6" s="1"/>
  <c r="Q102" i="6"/>
  <c r="R102" i="6" s="1"/>
  <c r="Q52" i="6"/>
  <c r="R52" i="6" s="1"/>
  <c r="Q78" i="6"/>
  <c r="R78" i="6" s="1"/>
  <c r="Q81" i="6"/>
  <c r="R81" i="6" s="1"/>
  <c r="Q108" i="6"/>
  <c r="R108" i="6" s="1"/>
  <c r="Q79" i="6"/>
  <c r="R79" i="6" s="1"/>
  <c r="Q123" i="6"/>
  <c r="R123" i="6" s="1"/>
  <c r="Q117" i="6"/>
  <c r="R117" i="6" s="1"/>
  <c r="Q112" i="6"/>
  <c r="R112" i="6" s="1"/>
  <c r="Q103" i="6"/>
  <c r="R103" i="6" s="1"/>
  <c r="Q51" i="6"/>
  <c r="R51" i="6" s="1"/>
  <c r="Q62" i="6"/>
  <c r="R62" i="6" s="1"/>
  <c r="R31" i="6"/>
  <c r="Q87" i="6"/>
  <c r="R87" i="6" s="1"/>
  <c r="N25" i="7"/>
  <c r="R107" i="6"/>
  <c r="R98" i="6"/>
  <c r="R106" i="6"/>
  <c r="R111" i="6"/>
  <c r="R96" i="6"/>
  <c r="F79" i="6"/>
  <c r="G79" i="6" s="1"/>
  <c r="E17" i="6" l="1"/>
  <c r="E18" i="6"/>
  <c r="E19" i="6"/>
  <c r="E20" i="6"/>
  <c r="E22" i="6"/>
  <c r="E24" i="6"/>
  <c r="E25" i="6"/>
  <c r="E26" i="6"/>
  <c r="E33" i="6"/>
  <c r="E46" i="6"/>
  <c r="E36" i="6"/>
  <c r="E37" i="6"/>
  <c r="E38" i="6"/>
  <c r="E39" i="6"/>
  <c r="E40" i="6"/>
  <c r="E41" i="6"/>
  <c r="E42" i="6"/>
  <c r="E43" i="6"/>
  <c r="E44" i="6"/>
  <c r="E45" i="6"/>
  <c r="E48" i="6"/>
  <c r="E74" i="6"/>
  <c r="E75" i="6"/>
  <c r="E68" i="6"/>
  <c r="E91" i="6"/>
  <c r="E67" i="6"/>
  <c r="E66" i="6"/>
  <c r="E72" i="6"/>
  <c r="E73" i="6"/>
  <c r="E71" i="6"/>
  <c r="E58" i="6"/>
  <c r="C93" i="6"/>
  <c r="C94" i="6"/>
  <c r="C90" i="7" s="1"/>
  <c r="P87" i="6"/>
  <c r="I87" i="6" s="1"/>
  <c r="D15" i="6"/>
  <c r="D65" i="6" s="1"/>
  <c r="Q75" i="6"/>
  <c r="R75" i="6" s="1"/>
  <c r="D11" i="6"/>
  <c r="H11" i="6"/>
  <c r="H12" i="6"/>
  <c r="H13" i="6"/>
  <c r="B12" i="6"/>
  <c r="B13" i="6"/>
  <c r="H3" i="6"/>
  <c r="H6" i="6"/>
  <c r="H7" i="6"/>
  <c r="H8" i="6"/>
  <c r="H15" i="6"/>
  <c r="K15" i="6" s="1"/>
  <c r="K16" i="6"/>
  <c r="K17" i="6"/>
  <c r="K18" i="6"/>
  <c r="K19" i="6"/>
  <c r="K20" i="6"/>
  <c r="K21" i="6"/>
  <c r="K22" i="6"/>
  <c r="K23" i="6"/>
  <c r="K24" i="6"/>
  <c r="K25" i="6"/>
  <c r="K26" i="6"/>
  <c r="K33" i="6"/>
  <c r="K36" i="6"/>
  <c r="K37" i="6"/>
  <c r="K38" i="6"/>
  <c r="K39" i="6"/>
  <c r="K40" i="6"/>
  <c r="K41" i="6"/>
  <c r="K42" i="6"/>
  <c r="K43" i="6"/>
  <c r="K44" i="6"/>
  <c r="K45" i="6"/>
  <c r="K48" i="6"/>
  <c r="K74" i="6"/>
  <c r="K75" i="6"/>
  <c r="K84" i="6"/>
  <c r="K68" i="6"/>
  <c r="K69" i="6"/>
  <c r="K85" i="6"/>
  <c r="K67" i="6"/>
  <c r="K66" i="6"/>
  <c r="K82" i="6"/>
  <c r="K72" i="6"/>
  <c r="K73" i="6"/>
  <c r="K83" i="6"/>
  <c r="K71" i="6"/>
  <c r="K58" i="6"/>
  <c r="K63" i="6"/>
  <c r="K96" i="6"/>
  <c r="E92" i="7" s="1"/>
  <c r="K97" i="6"/>
  <c r="E93" i="7" s="1"/>
  <c r="K98" i="6"/>
  <c r="E94" i="7" s="1"/>
  <c r="K99" i="6"/>
  <c r="E95" i="7" s="1"/>
  <c r="K100" i="6"/>
  <c r="E96" i="7" s="1"/>
  <c r="K101" i="6"/>
  <c r="E97" i="7" s="1"/>
  <c r="K102" i="6"/>
  <c r="E98" i="7" s="1"/>
  <c r="K103" i="6"/>
  <c r="E99" i="7" s="1"/>
  <c r="K104" i="6"/>
  <c r="E100" i="7" s="1"/>
  <c r="K105" i="6"/>
  <c r="E101" i="7" s="1"/>
  <c r="K106" i="6"/>
  <c r="E102" i="7" s="1"/>
  <c r="K107" i="6"/>
  <c r="E103" i="7" s="1"/>
  <c r="K108" i="6"/>
  <c r="E104" i="7" s="1"/>
  <c r="K109" i="6"/>
  <c r="E105" i="7" s="1"/>
  <c r="K110" i="6"/>
  <c r="E106" i="7" s="1"/>
  <c r="K111" i="6"/>
  <c r="E107" i="7" s="1"/>
  <c r="K112" i="6"/>
  <c r="E108" i="7" s="1"/>
  <c r="K113" i="6"/>
  <c r="E109" i="7" s="1"/>
  <c r="K114" i="6"/>
  <c r="E110" i="7" s="1"/>
  <c r="K115" i="6"/>
  <c r="E111" i="7" s="1"/>
  <c r="K116" i="6"/>
  <c r="E112" i="7" s="1"/>
  <c r="K117" i="6"/>
  <c r="E113" i="7" s="1"/>
  <c r="K118" i="6"/>
  <c r="E114" i="7" s="1"/>
  <c r="K119" i="6"/>
  <c r="E115" i="7" s="1"/>
  <c r="K120" i="6"/>
  <c r="E116" i="7" s="1"/>
  <c r="E117" i="7"/>
  <c r="E118" i="7"/>
  <c r="K121" i="6"/>
  <c r="E119" i="7" s="1"/>
  <c r="E120" i="7"/>
  <c r="E121" i="7"/>
  <c r="K122" i="6"/>
  <c r="E122" i="7" s="1"/>
  <c r="K123" i="6"/>
  <c r="E123" i="7" s="1"/>
  <c r="H2" i="6"/>
  <c r="D7" i="6"/>
  <c r="D8" i="6"/>
  <c r="I33" i="6"/>
  <c r="D27" i="14" s="1"/>
  <c r="I88" i="14" s="1"/>
  <c r="B3" i="6"/>
  <c r="B4" i="6"/>
  <c r="B7" i="6"/>
  <c r="B8" i="6"/>
  <c r="B9" i="6"/>
  <c r="B15" i="6"/>
  <c r="B2" i="6"/>
  <c r="D225" i="1"/>
  <c r="E102" i="12" l="1"/>
  <c r="E102" i="14"/>
  <c r="E102" i="13"/>
  <c r="E94" i="14"/>
  <c r="E94" i="12"/>
  <c r="E94" i="13"/>
  <c r="E66" i="7"/>
  <c r="E66" i="13"/>
  <c r="E66" i="14"/>
  <c r="E66" i="12"/>
  <c r="E69" i="7"/>
  <c r="E69" i="14"/>
  <c r="E69" i="13"/>
  <c r="E69" i="12"/>
  <c r="E34" i="7"/>
  <c r="E34" i="14"/>
  <c r="E34" i="13"/>
  <c r="E34" i="12"/>
  <c r="E18" i="7"/>
  <c r="E18" i="14"/>
  <c r="E18" i="13"/>
  <c r="E18" i="12"/>
  <c r="E10" i="7"/>
  <c r="E10" i="14"/>
  <c r="E10" i="13"/>
  <c r="E10" i="12"/>
  <c r="B9" i="7"/>
  <c r="B9" i="13"/>
  <c r="B9" i="14"/>
  <c r="B9" i="12"/>
  <c r="E117" i="14"/>
  <c r="E117" i="13"/>
  <c r="E117" i="12"/>
  <c r="E109" i="14"/>
  <c r="E109" i="13"/>
  <c r="E109" i="12"/>
  <c r="E101" i="14"/>
  <c r="E101" i="13"/>
  <c r="E101" i="12"/>
  <c r="E93" i="14"/>
  <c r="E93" i="13"/>
  <c r="E93" i="12"/>
  <c r="E76" i="7"/>
  <c r="E76" i="13"/>
  <c r="E76" i="14"/>
  <c r="E76" i="12"/>
  <c r="E68" i="7"/>
  <c r="E68" i="13"/>
  <c r="E68" i="14"/>
  <c r="E68" i="12"/>
  <c r="E33" i="7"/>
  <c r="E33" i="13"/>
  <c r="E33" i="14"/>
  <c r="E33" i="12"/>
  <c r="E17" i="7"/>
  <c r="E17" i="13"/>
  <c r="E17" i="14"/>
  <c r="E17" i="12"/>
  <c r="E9" i="7"/>
  <c r="E90" i="7" s="1"/>
  <c r="E9" i="14"/>
  <c r="E9" i="13"/>
  <c r="E9" i="12"/>
  <c r="E118" i="12"/>
  <c r="E118" i="14"/>
  <c r="E118" i="13"/>
  <c r="E116" i="13"/>
  <c r="E116" i="14"/>
  <c r="E116" i="12"/>
  <c r="E92" i="13"/>
  <c r="E92" i="14"/>
  <c r="E92" i="12"/>
  <c r="E42" i="7"/>
  <c r="E42" i="13"/>
  <c r="E42" i="14"/>
  <c r="E42" i="12"/>
  <c r="E32" i="7"/>
  <c r="E32" i="13"/>
  <c r="E32" i="14"/>
  <c r="E32" i="12"/>
  <c r="E16" i="7"/>
  <c r="E16" i="14"/>
  <c r="E16" i="13"/>
  <c r="E16" i="12"/>
  <c r="E123" i="14"/>
  <c r="E123" i="13"/>
  <c r="E123" i="12"/>
  <c r="E115" i="13"/>
  <c r="E115" i="12"/>
  <c r="E115" i="14"/>
  <c r="E107" i="12"/>
  <c r="E107" i="13"/>
  <c r="E107" i="14"/>
  <c r="E99" i="13"/>
  <c r="E99" i="12"/>
  <c r="E99" i="14"/>
  <c r="E57" i="7"/>
  <c r="E57" i="13"/>
  <c r="E57" i="14"/>
  <c r="E57" i="12"/>
  <c r="E61" i="7"/>
  <c r="E61" i="14"/>
  <c r="E61" i="13"/>
  <c r="E61" i="12"/>
  <c r="E39" i="13"/>
  <c r="E39" i="14"/>
  <c r="E39" i="12"/>
  <c r="E31" i="7"/>
  <c r="E31" i="13"/>
  <c r="E31" i="14"/>
  <c r="E31" i="12"/>
  <c r="E15" i="7"/>
  <c r="E15" i="14"/>
  <c r="E15" i="13"/>
  <c r="E15" i="12"/>
  <c r="E100" i="13"/>
  <c r="E100" i="12"/>
  <c r="E100" i="14"/>
  <c r="E60" i="7"/>
  <c r="E60" i="13"/>
  <c r="E60" i="14"/>
  <c r="E60" i="12"/>
  <c r="E122" i="13"/>
  <c r="E122" i="14"/>
  <c r="E122" i="12"/>
  <c r="E114" i="12"/>
  <c r="E114" i="14"/>
  <c r="E114" i="13"/>
  <c r="E106" i="12"/>
  <c r="E106" i="13"/>
  <c r="E106" i="14"/>
  <c r="E98" i="12"/>
  <c r="E98" i="13"/>
  <c r="E98" i="14"/>
  <c r="E52" i="7"/>
  <c r="E52" i="14"/>
  <c r="E52" i="13"/>
  <c r="E52" i="12"/>
  <c r="E79" i="7"/>
  <c r="E79" i="14"/>
  <c r="E79" i="13"/>
  <c r="E79" i="12"/>
  <c r="E38" i="7"/>
  <c r="E38" i="14"/>
  <c r="E38" i="13"/>
  <c r="E38" i="12"/>
  <c r="E30" i="7"/>
  <c r="E30" i="14"/>
  <c r="E30" i="13"/>
  <c r="E30" i="12"/>
  <c r="E14" i="7"/>
  <c r="E14" i="13"/>
  <c r="E14" i="14"/>
  <c r="E14" i="12"/>
  <c r="E110" i="14"/>
  <c r="E110" i="12"/>
  <c r="E110" i="13"/>
  <c r="E108" i="13"/>
  <c r="E108" i="14"/>
  <c r="E108" i="12"/>
  <c r="E121" i="12"/>
  <c r="E121" i="13"/>
  <c r="E121" i="14"/>
  <c r="E113" i="14"/>
  <c r="E113" i="13"/>
  <c r="E113" i="12"/>
  <c r="E105" i="14"/>
  <c r="E105" i="13"/>
  <c r="E105" i="12"/>
  <c r="E97" i="14"/>
  <c r="E97" i="13"/>
  <c r="E97" i="12"/>
  <c r="E65" i="7"/>
  <c r="E65" i="14"/>
  <c r="E65" i="13"/>
  <c r="E65" i="12"/>
  <c r="E63" i="7"/>
  <c r="E63" i="14"/>
  <c r="E63" i="13"/>
  <c r="E63" i="12"/>
  <c r="E37" i="7"/>
  <c r="E37" i="14"/>
  <c r="E37" i="13"/>
  <c r="E37" i="12"/>
  <c r="E27" i="7"/>
  <c r="E27" i="13"/>
  <c r="E27" i="14"/>
  <c r="E27" i="12"/>
  <c r="E13" i="7"/>
  <c r="E13" i="13"/>
  <c r="E13" i="14"/>
  <c r="E13" i="12"/>
  <c r="E120" i="13"/>
  <c r="E120" i="12"/>
  <c r="E120" i="14"/>
  <c r="E112" i="13"/>
  <c r="E112" i="14"/>
  <c r="E112" i="12"/>
  <c r="E104" i="14"/>
  <c r="E104" i="12"/>
  <c r="E104" i="13"/>
  <c r="E96" i="13"/>
  <c r="E96" i="12"/>
  <c r="E96" i="14"/>
  <c r="E77" i="7"/>
  <c r="E77" i="14"/>
  <c r="E77" i="13"/>
  <c r="E77" i="12"/>
  <c r="E62" i="7"/>
  <c r="E62" i="14"/>
  <c r="E62" i="13"/>
  <c r="E62" i="12"/>
  <c r="E36" i="7"/>
  <c r="E36" i="14"/>
  <c r="E36" i="13"/>
  <c r="E36" i="12"/>
  <c r="E20" i="7"/>
  <c r="E20" i="13"/>
  <c r="E20" i="14"/>
  <c r="E20" i="12"/>
  <c r="E12" i="7"/>
  <c r="E12" i="13"/>
  <c r="E12" i="14"/>
  <c r="E12" i="12"/>
  <c r="E119" i="14"/>
  <c r="E119" i="12"/>
  <c r="E119" i="13"/>
  <c r="E111" i="13"/>
  <c r="E111" i="12"/>
  <c r="E111" i="14"/>
  <c r="E103" i="13"/>
  <c r="E103" i="12"/>
  <c r="E103" i="14"/>
  <c r="E95" i="13"/>
  <c r="E95" i="12"/>
  <c r="E95" i="14"/>
  <c r="E67" i="7"/>
  <c r="E67" i="13"/>
  <c r="E67" i="14"/>
  <c r="E67" i="12"/>
  <c r="E78" i="7"/>
  <c r="E78" i="14"/>
  <c r="E78" i="13"/>
  <c r="E78" i="12"/>
  <c r="E35" i="7"/>
  <c r="E35" i="14"/>
  <c r="E35" i="13"/>
  <c r="E35" i="12"/>
  <c r="E19" i="7"/>
  <c r="E19" i="14"/>
  <c r="E19" i="13"/>
  <c r="E19" i="12"/>
  <c r="E11" i="7"/>
  <c r="E11" i="14"/>
  <c r="E11" i="13"/>
  <c r="E11" i="12"/>
  <c r="D81" i="14"/>
  <c r="D81" i="12"/>
  <c r="H81" i="12" s="1"/>
  <c r="D81" i="13"/>
  <c r="D27" i="12"/>
  <c r="H88" i="12" s="1"/>
  <c r="D27" i="13"/>
  <c r="H88" i="13" s="1"/>
  <c r="D27" i="7"/>
  <c r="J88" i="7" s="1"/>
  <c r="K46" i="6"/>
  <c r="E39" i="7"/>
  <c r="P78" i="6"/>
  <c r="I78" i="6" s="1"/>
  <c r="D72" i="14" s="1"/>
  <c r="M72" i="14" s="1"/>
  <c r="P81" i="6"/>
  <c r="I81" i="6" s="1"/>
  <c r="D75" i="14" s="1"/>
  <c r="P29" i="6"/>
  <c r="I29" i="6" s="1"/>
  <c r="D23" i="14" s="1"/>
  <c r="P30" i="6"/>
  <c r="I30" i="6" s="1"/>
  <c r="D24" i="14" s="1"/>
  <c r="P86" i="6"/>
  <c r="I86" i="6" s="1"/>
  <c r="P79" i="6"/>
  <c r="I79" i="6" s="1"/>
  <c r="D73" i="14" s="1"/>
  <c r="M73" i="14" s="1"/>
  <c r="P31" i="6"/>
  <c r="I31" i="6" s="1"/>
  <c r="D25" i="14" s="1"/>
  <c r="P77" i="6"/>
  <c r="I77" i="6" s="1"/>
  <c r="D71" i="14" s="1"/>
  <c r="P90" i="6"/>
  <c r="I90" i="6" s="1"/>
  <c r="D84" i="14" s="1"/>
  <c r="P80" i="6"/>
  <c r="I80" i="6" s="1"/>
  <c r="D74" i="14" s="1"/>
  <c r="M74" i="14" s="1"/>
  <c r="P76" i="6"/>
  <c r="I76" i="6" s="1"/>
  <c r="D70" i="14" s="1"/>
  <c r="P56" i="6"/>
  <c r="I56" i="6" s="1"/>
  <c r="D50" i="14" s="1"/>
  <c r="M50" i="14" s="1"/>
  <c r="P51" i="6"/>
  <c r="I51" i="6" s="1"/>
  <c r="D45" i="14" s="1"/>
  <c r="M45" i="14" s="1"/>
  <c r="P55" i="6"/>
  <c r="I55" i="6" s="1"/>
  <c r="D49" i="14" s="1"/>
  <c r="M49" i="14" s="1"/>
  <c r="P52" i="6"/>
  <c r="I52" i="6" s="1"/>
  <c r="D46" i="14" s="1"/>
  <c r="M46" i="14" s="1"/>
  <c r="P53" i="6"/>
  <c r="I53" i="6" s="1"/>
  <c r="D47" i="14" s="1"/>
  <c r="M47" i="14" s="1"/>
  <c r="P62" i="6"/>
  <c r="I62" i="6" s="1"/>
  <c r="D56" i="14" s="1"/>
  <c r="M56" i="14" s="1"/>
  <c r="P59" i="6"/>
  <c r="I59" i="6" s="1"/>
  <c r="D53" i="14" s="1"/>
  <c r="P57" i="6"/>
  <c r="I57" i="6" s="1"/>
  <c r="D51" i="14" s="1"/>
  <c r="M51" i="14" s="1"/>
  <c r="P54" i="6"/>
  <c r="I54" i="6" s="1"/>
  <c r="D48" i="14" s="1"/>
  <c r="M48" i="14" s="1"/>
  <c r="K91" i="6"/>
  <c r="P70" i="6"/>
  <c r="I70" i="6" s="1"/>
  <c r="D64" i="14" s="1"/>
  <c r="F75" i="6"/>
  <c r="G75" i="6" s="1"/>
  <c r="F39" i="6"/>
  <c r="G39" i="6" s="1"/>
  <c r="F72" i="6"/>
  <c r="G72" i="6" s="1"/>
  <c r="F44" i="6"/>
  <c r="G44" i="6" s="1"/>
  <c r="F40" i="6"/>
  <c r="G40" i="6" s="1"/>
  <c r="F24" i="6"/>
  <c r="G24" i="6" s="1"/>
  <c r="F58" i="6"/>
  <c r="G58" i="6" s="1"/>
  <c r="F48" i="6"/>
  <c r="G48" i="6" s="1"/>
  <c r="F38" i="6"/>
  <c r="G38" i="6" s="1"/>
  <c r="F66" i="6"/>
  <c r="G66" i="6" s="1"/>
  <c r="F91" i="6"/>
  <c r="G91" i="6" s="1"/>
  <c r="F45" i="6"/>
  <c r="G45" i="6" s="1"/>
  <c r="F37" i="6"/>
  <c r="G37" i="6" s="1"/>
  <c r="F22" i="6"/>
  <c r="G22" i="6" s="1"/>
  <c r="F71" i="6"/>
  <c r="G71" i="6" s="1"/>
  <c r="F67" i="6"/>
  <c r="G67" i="6" s="1"/>
  <c r="F36" i="6"/>
  <c r="G36" i="6" s="1"/>
  <c r="E21" i="6"/>
  <c r="F21" i="6" s="1"/>
  <c r="F68" i="6"/>
  <c r="G68" i="6" s="1"/>
  <c r="F20" i="6"/>
  <c r="G20" i="6" s="1"/>
  <c r="E69" i="6"/>
  <c r="F69" i="6" s="1"/>
  <c r="G69" i="6" s="1"/>
  <c r="F42" i="6"/>
  <c r="G42" i="6" s="1"/>
  <c r="F19" i="6"/>
  <c r="G19" i="6" s="1"/>
  <c r="F41" i="6"/>
  <c r="G41" i="6" s="1"/>
  <c r="F26" i="6"/>
  <c r="G26" i="6" s="1"/>
  <c r="F18" i="6"/>
  <c r="G18" i="6" s="1"/>
  <c r="F73" i="6"/>
  <c r="G73" i="6" s="1"/>
  <c r="F74" i="6"/>
  <c r="G74" i="6" s="1"/>
  <c r="F25" i="6"/>
  <c r="G25" i="6" s="1"/>
  <c r="F33" i="6"/>
  <c r="G33" i="6" s="1"/>
  <c r="F43" i="6"/>
  <c r="G43" i="6" s="1"/>
  <c r="E16" i="6"/>
  <c r="F16" i="6" s="1"/>
  <c r="G16" i="6" s="1"/>
  <c r="E23" i="6"/>
  <c r="F23" i="6" s="1"/>
  <c r="P91" i="6"/>
  <c r="P100" i="6"/>
  <c r="J100" i="6" s="1"/>
  <c r="P104" i="6"/>
  <c r="J104" i="6" s="1"/>
  <c r="P109" i="6"/>
  <c r="J109" i="6" s="1"/>
  <c r="P113" i="6"/>
  <c r="J113" i="6" s="1"/>
  <c r="P95" i="6"/>
  <c r="P96" i="6"/>
  <c r="J96" i="6" s="1"/>
  <c r="P117" i="6"/>
  <c r="J117" i="6" s="1"/>
  <c r="P97" i="6"/>
  <c r="J97" i="6" s="1"/>
  <c r="P101" i="6"/>
  <c r="J101" i="6" s="1"/>
  <c r="P105" i="6"/>
  <c r="J105" i="6" s="1"/>
  <c r="P110" i="6"/>
  <c r="J110" i="6" s="1"/>
  <c r="P114" i="6"/>
  <c r="J114" i="6" s="1"/>
  <c r="P98" i="6"/>
  <c r="J98" i="6" s="1"/>
  <c r="P102" i="6"/>
  <c r="J102" i="6" s="1"/>
  <c r="P106" i="6"/>
  <c r="J106" i="6" s="1"/>
  <c r="P111" i="6"/>
  <c r="J111" i="6" s="1"/>
  <c r="P115" i="6"/>
  <c r="J115" i="6" s="1"/>
  <c r="P108" i="6"/>
  <c r="J108" i="6" s="1"/>
  <c r="P120" i="6"/>
  <c r="J120" i="6" s="1"/>
  <c r="P118" i="6"/>
  <c r="J118" i="6" s="1"/>
  <c r="P122" i="6"/>
  <c r="J122" i="6" s="1"/>
  <c r="P119" i="6"/>
  <c r="J119" i="6" s="1"/>
  <c r="P121" i="6"/>
  <c r="J121" i="6" s="1"/>
  <c r="P123" i="6"/>
  <c r="J123" i="6" s="1"/>
  <c r="P99" i="6"/>
  <c r="J99" i="6" s="1"/>
  <c r="P103" i="6"/>
  <c r="J103" i="6" s="1"/>
  <c r="P107" i="6"/>
  <c r="J107" i="6" s="1"/>
  <c r="P112" i="6"/>
  <c r="J112" i="6" s="1"/>
  <c r="P116" i="6"/>
  <c r="J116" i="6" s="1"/>
  <c r="Q71" i="6"/>
  <c r="R71" i="6" s="1"/>
  <c r="Q95" i="6"/>
  <c r="Q63" i="6"/>
  <c r="R63" i="6" s="1"/>
  <c r="F17" i="6"/>
  <c r="G17" i="6" s="1"/>
  <c r="P44" i="6"/>
  <c r="P43" i="6"/>
  <c r="P39" i="6"/>
  <c r="P38" i="6"/>
  <c r="P37" i="6"/>
  <c r="F46" i="6"/>
  <c r="G46" i="6" s="1"/>
  <c r="P36" i="6"/>
  <c r="P63" i="6"/>
  <c r="P45" i="6"/>
  <c r="Q42" i="6"/>
  <c r="R42" i="6" s="1"/>
  <c r="P42" i="6"/>
  <c r="P41" i="6"/>
  <c r="P58" i="6"/>
  <c r="P46" i="6"/>
  <c r="P40" i="6"/>
  <c r="Q58" i="6"/>
  <c r="R58" i="6" s="1"/>
  <c r="Q66" i="6"/>
  <c r="R66" i="6" s="1"/>
  <c r="Q60" i="6"/>
  <c r="R60" i="6" s="1"/>
  <c r="Q45" i="6"/>
  <c r="R45" i="6" s="1"/>
  <c r="Q39" i="6"/>
  <c r="R39" i="6" s="1"/>
  <c r="R22" i="6"/>
  <c r="R23" i="6"/>
  <c r="Q74" i="6"/>
  <c r="R74" i="6" s="1"/>
  <c r="Q36" i="6"/>
  <c r="R36" i="6" s="1"/>
  <c r="Q67" i="6"/>
  <c r="R67" i="6" s="1"/>
  <c r="R21" i="6"/>
  <c r="Q82" i="6"/>
  <c r="R82" i="6" s="1"/>
  <c r="Q46" i="6"/>
  <c r="R46" i="6" s="1"/>
  <c r="Q72" i="6"/>
  <c r="R72" i="6" s="1"/>
  <c r="Q38" i="6"/>
  <c r="R38" i="6" s="1"/>
  <c r="R16" i="6"/>
  <c r="R19" i="6"/>
  <c r="Q68" i="6"/>
  <c r="R68" i="6" s="1"/>
  <c r="Q73" i="6"/>
  <c r="R73" i="6" s="1"/>
  <c r="Q41" i="6"/>
  <c r="R41" i="6" s="1"/>
  <c r="R26" i="6"/>
  <c r="R18" i="6"/>
  <c r="Q69" i="6"/>
  <c r="R69" i="6" s="1"/>
  <c r="Q83" i="6"/>
  <c r="R83" i="6" s="1"/>
  <c r="R20" i="6"/>
  <c r="R25" i="6"/>
  <c r="R17" i="6"/>
  <c r="Q91" i="6"/>
  <c r="R91" i="6" s="1"/>
  <c r="Q61" i="6"/>
  <c r="R61" i="6" s="1"/>
  <c r="Q43" i="6"/>
  <c r="R43" i="6" s="1"/>
  <c r="Q40" i="6"/>
  <c r="R40" i="6" s="1"/>
  <c r="Q37" i="6"/>
  <c r="R37" i="6" s="1"/>
  <c r="Q84" i="6"/>
  <c r="R84" i="6" s="1"/>
  <c r="Q44" i="6"/>
  <c r="R44" i="6" s="1"/>
  <c r="R24" i="6"/>
  <c r="Q48" i="6"/>
  <c r="R48" i="6" s="1"/>
  <c r="Q85" i="6"/>
  <c r="R85" i="6" s="1"/>
  <c r="P61" i="6"/>
  <c r="P71" i="6"/>
  <c r="P18" i="6"/>
  <c r="P74" i="6"/>
  <c r="P68" i="6"/>
  <c r="P67" i="6"/>
  <c r="P85" i="6"/>
  <c r="P72" i="6"/>
  <c r="P73" i="6"/>
  <c r="P60" i="6"/>
  <c r="P84" i="6"/>
  <c r="P75" i="6"/>
  <c r="I75" i="6" s="1"/>
  <c r="D69" i="14" s="1"/>
  <c r="M69" i="14" s="1"/>
  <c r="P69" i="6"/>
  <c r="P66" i="6"/>
  <c r="P25" i="6"/>
  <c r="P24" i="6"/>
  <c r="P17" i="6"/>
  <c r="P83" i="6"/>
  <c r="P82" i="6"/>
  <c r="P48" i="6"/>
  <c r="P23" i="6"/>
  <c r="P22" i="6"/>
  <c r="P16" i="6"/>
  <c r="P19" i="6"/>
  <c r="P21" i="6"/>
  <c r="P20" i="6"/>
  <c r="P26" i="6"/>
  <c r="F84" i="1"/>
  <c r="F85" i="1"/>
  <c r="F86" i="1"/>
  <c r="F87" i="1"/>
  <c r="F88" i="1"/>
  <c r="F89" i="1"/>
  <c r="F90" i="1"/>
  <c r="F91" i="1"/>
  <c r="F92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70" i="1"/>
  <c r="F69" i="1"/>
  <c r="F64" i="1"/>
  <c r="G64" i="1" s="1"/>
  <c r="F62" i="1"/>
  <c r="G62" i="1" s="1"/>
  <c r="F63" i="1"/>
  <c r="G63" i="1" s="1"/>
  <c r="F61" i="1"/>
  <c r="G61" i="1" s="1"/>
  <c r="I91" i="6" l="1"/>
  <c r="D85" i="14" s="1"/>
  <c r="M85" i="14" s="1"/>
  <c r="D80" i="14"/>
  <c r="D80" i="7"/>
  <c r="J46" i="6"/>
  <c r="I107" i="6"/>
  <c r="D103" i="7" s="1"/>
  <c r="I118" i="6"/>
  <c r="D114" i="7" s="1"/>
  <c r="I114" i="6"/>
  <c r="D110" i="7" s="1"/>
  <c r="I96" i="6"/>
  <c r="D92" i="7" s="1"/>
  <c r="I110" i="6"/>
  <c r="D106" i="7" s="1"/>
  <c r="I113" i="6"/>
  <c r="D109" i="7" s="1"/>
  <c r="I117" i="6"/>
  <c r="D113" i="7" s="1"/>
  <c r="I105" i="6"/>
  <c r="D101" i="7" s="1"/>
  <c r="I109" i="6"/>
  <c r="D105" i="7" s="1"/>
  <c r="I98" i="6"/>
  <c r="D94" i="7" s="1"/>
  <c r="I120" i="6"/>
  <c r="D116" i="7" s="1"/>
  <c r="I99" i="6"/>
  <c r="D95" i="7" s="1"/>
  <c r="I108" i="6"/>
  <c r="D104" i="7" s="1"/>
  <c r="I123" i="6"/>
  <c r="D123" i="7" s="1"/>
  <c r="I115" i="6"/>
  <c r="D111" i="7" s="1"/>
  <c r="I101" i="6"/>
  <c r="D97" i="7" s="1"/>
  <c r="I121" i="6"/>
  <c r="D119" i="7" s="1"/>
  <c r="I111" i="6"/>
  <c r="D107" i="7" s="1"/>
  <c r="I97" i="6"/>
  <c r="D93" i="7" s="1"/>
  <c r="I104" i="6"/>
  <c r="D100" i="7" s="1"/>
  <c r="I112" i="6"/>
  <c r="D108" i="7" s="1"/>
  <c r="I103" i="6"/>
  <c r="D99" i="7" s="1"/>
  <c r="D120" i="7"/>
  <c r="I119" i="6"/>
  <c r="D115" i="7" s="1"/>
  <c r="D121" i="7"/>
  <c r="I100" i="6"/>
  <c r="D96" i="7" s="1"/>
  <c r="D118" i="7"/>
  <c r="I106" i="6"/>
  <c r="D102" i="7" s="1"/>
  <c r="I116" i="6"/>
  <c r="D112" i="7" s="1"/>
  <c r="I122" i="6"/>
  <c r="D122" i="7" s="1"/>
  <c r="I102" i="6"/>
  <c r="D98" i="7" s="1"/>
  <c r="D117" i="7"/>
  <c r="R95" i="6"/>
  <c r="J95" i="6" s="1"/>
  <c r="I95" i="6" s="1"/>
  <c r="D91" i="7" s="1"/>
  <c r="D91" i="14" s="1"/>
  <c r="E85" i="7"/>
  <c r="E85" i="13"/>
  <c r="E85" i="14"/>
  <c r="E85" i="12"/>
  <c r="J36" i="6"/>
  <c r="D30" i="12" s="1"/>
  <c r="E40" i="7"/>
  <c r="E40" i="13"/>
  <c r="E40" i="14"/>
  <c r="E40" i="12"/>
  <c r="E90" i="12"/>
  <c r="E90" i="14"/>
  <c r="E90" i="13"/>
  <c r="I24" i="14"/>
  <c r="M24" i="14"/>
  <c r="I64" i="14"/>
  <c r="M64" i="14"/>
  <c r="I70" i="14"/>
  <c r="M70" i="14"/>
  <c r="I23" i="14"/>
  <c r="M23" i="14"/>
  <c r="I53" i="14"/>
  <c r="M53" i="14"/>
  <c r="I84" i="14"/>
  <c r="M84" i="14"/>
  <c r="I71" i="14"/>
  <c r="M71" i="14"/>
  <c r="I25" i="14"/>
  <c r="M25" i="14"/>
  <c r="I81" i="14"/>
  <c r="M81" i="14"/>
  <c r="D56" i="7"/>
  <c r="J56" i="7" s="1"/>
  <c r="D56" i="13"/>
  <c r="H56" i="13" s="1"/>
  <c r="D56" i="12"/>
  <c r="H56" i="12" s="1"/>
  <c r="D72" i="7"/>
  <c r="J72" i="7" s="1"/>
  <c r="D72" i="13"/>
  <c r="D72" i="12"/>
  <c r="H72" i="12" s="1"/>
  <c r="L72" i="12" s="1"/>
  <c r="D47" i="7"/>
  <c r="N47" i="7" s="1"/>
  <c r="D47" i="13"/>
  <c r="D47" i="12"/>
  <c r="D71" i="7"/>
  <c r="J71" i="7" s="1"/>
  <c r="D71" i="13"/>
  <c r="H71" i="13" s="1"/>
  <c r="D71" i="12"/>
  <c r="H71" i="12" s="1"/>
  <c r="L71" i="12" s="1"/>
  <c r="D84" i="7"/>
  <c r="J84" i="7" s="1"/>
  <c r="D84" i="13"/>
  <c r="H84" i="13" s="1"/>
  <c r="D84" i="12"/>
  <c r="H84" i="12" s="1"/>
  <c r="D46" i="7"/>
  <c r="J46" i="7" s="1"/>
  <c r="D46" i="13"/>
  <c r="D46" i="12"/>
  <c r="D25" i="7"/>
  <c r="J25" i="7" s="1"/>
  <c r="D25" i="13"/>
  <c r="H25" i="13" s="1"/>
  <c r="D25" i="12"/>
  <c r="D73" i="7"/>
  <c r="J73" i="7" s="1"/>
  <c r="D73" i="13"/>
  <c r="D73" i="12"/>
  <c r="H73" i="12" s="1"/>
  <c r="L73" i="12" s="1"/>
  <c r="D45" i="13"/>
  <c r="D45" i="12"/>
  <c r="D45" i="7"/>
  <c r="D48" i="7"/>
  <c r="J48" i="7" s="1"/>
  <c r="D48" i="13"/>
  <c r="D48" i="12"/>
  <c r="D50" i="7"/>
  <c r="J50" i="7" s="1"/>
  <c r="D50" i="13"/>
  <c r="D50" i="12"/>
  <c r="D24" i="7"/>
  <c r="J24" i="7" s="1"/>
  <c r="D24" i="13"/>
  <c r="H24" i="13" s="1"/>
  <c r="D24" i="12"/>
  <c r="J27" i="7"/>
  <c r="D49" i="7"/>
  <c r="J49" i="7" s="1"/>
  <c r="D49" i="13"/>
  <c r="D49" i="12"/>
  <c r="D69" i="7"/>
  <c r="N69" i="7" s="1"/>
  <c r="D69" i="13"/>
  <c r="D69" i="12"/>
  <c r="D80" i="13"/>
  <c r="D80" i="12"/>
  <c r="D51" i="7"/>
  <c r="J51" i="7" s="1"/>
  <c r="D51" i="13"/>
  <c r="D51" i="12"/>
  <c r="D70" i="7"/>
  <c r="N70" i="7" s="1"/>
  <c r="D70" i="13"/>
  <c r="H70" i="13" s="1"/>
  <c r="D70" i="12"/>
  <c r="H70" i="12" s="1"/>
  <c r="L70" i="12" s="1"/>
  <c r="D23" i="13"/>
  <c r="H23" i="13" s="1"/>
  <c r="D23" i="12"/>
  <c r="D23" i="7"/>
  <c r="D64" i="7"/>
  <c r="J64" i="7" s="1"/>
  <c r="D64" i="13"/>
  <c r="H64" i="13" s="1"/>
  <c r="D64" i="12"/>
  <c r="H64" i="12" s="1"/>
  <c r="L64" i="12" s="1"/>
  <c r="D53" i="7"/>
  <c r="J53" i="7" s="1"/>
  <c r="D53" i="13"/>
  <c r="H53" i="13" s="1"/>
  <c r="D53" i="12"/>
  <c r="H53" i="12" s="1"/>
  <c r="L53" i="12" s="1"/>
  <c r="D74" i="7"/>
  <c r="J74" i="7" s="1"/>
  <c r="D74" i="13"/>
  <c r="D74" i="12"/>
  <c r="H74" i="12" s="1"/>
  <c r="L74" i="12" s="1"/>
  <c r="D75" i="7"/>
  <c r="D75" i="13"/>
  <c r="D75" i="12"/>
  <c r="I61" i="6"/>
  <c r="D55" i="14" s="1"/>
  <c r="J44" i="6"/>
  <c r="I83" i="6"/>
  <c r="D77" i="14" s="1"/>
  <c r="J43" i="6"/>
  <c r="J38" i="6"/>
  <c r="G21" i="6"/>
  <c r="I21" i="6" s="1"/>
  <c r="D15" i="14" s="1"/>
  <c r="I63" i="6"/>
  <c r="D57" i="14" s="1"/>
  <c r="I16" i="6"/>
  <c r="D10" i="14" s="1"/>
  <c r="I74" i="6"/>
  <c r="D68" i="14" s="1"/>
  <c r="M68" i="14" s="1"/>
  <c r="I69" i="6"/>
  <c r="D63" i="14" s="1"/>
  <c r="I26" i="6"/>
  <c r="D20" i="14" s="1"/>
  <c r="J39" i="6"/>
  <c r="I85" i="6"/>
  <c r="D79" i="14" s="1"/>
  <c r="I18" i="6"/>
  <c r="D12" i="14" s="1"/>
  <c r="I72" i="6"/>
  <c r="D66" i="14" s="1"/>
  <c r="M66" i="14" s="1"/>
  <c r="I22" i="6"/>
  <c r="D16" i="14" s="1"/>
  <c r="I24" i="6"/>
  <c r="D18" i="14" s="1"/>
  <c r="I17" i="6"/>
  <c r="D11" i="14" s="1"/>
  <c r="I11" i="14" s="1"/>
  <c r="I82" i="6"/>
  <c r="D76" i="14" s="1"/>
  <c r="I71" i="6"/>
  <c r="D65" i="14" s="1"/>
  <c r="M65" i="14" s="1"/>
  <c r="I25" i="6"/>
  <c r="D19" i="14" s="1"/>
  <c r="I73" i="6"/>
  <c r="D67" i="14" s="1"/>
  <c r="M67" i="14" s="1"/>
  <c r="I60" i="6"/>
  <c r="D54" i="14" s="1"/>
  <c r="I84" i="6"/>
  <c r="D78" i="14" s="1"/>
  <c r="I20" i="6"/>
  <c r="D14" i="14" s="1"/>
  <c r="M14" i="14" s="1"/>
  <c r="I68" i="6"/>
  <c r="D62" i="14" s="1"/>
  <c r="I67" i="6"/>
  <c r="D61" i="14" s="1"/>
  <c r="I66" i="6"/>
  <c r="D60" i="14" s="1"/>
  <c r="I19" i="6"/>
  <c r="D13" i="14" s="1"/>
  <c r="I58" i="6"/>
  <c r="D52" i="14" s="1"/>
  <c r="G23" i="6"/>
  <c r="I23" i="6" s="1"/>
  <c r="D17" i="14" s="1"/>
  <c r="J37" i="6"/>
  <c r="J42" i="6"/>
  <c r="J45" i="6"/>
  <c r="I48" i="6"/>
  <c r="D42" i="14" s="1"/>
  <c r="J41" i="6"/>
  <c r="J40" i="6"/>
  <c r="E5" i="1"/>
  <c r="H4" i="6" s="1"/>
  <c r="D257" i="1"/>
  <c r="D247" i="1"/>
  <c r="D234" i="1"/>
  <c r="I85" i="14" l="1"/>
  <c r="D85" i="12"/>
  <c r="H85" i="12" s="1"/>
  <c r="L85" i="12" s="1"/>
  <c r="D85" i="13"/>
  <c r="D85" i="7"/>
  <c r="J85" i="7" s="1"/>
  <c r="I36" i="6"/>
  <c r="D30" i="7" s="1"/>
  <c r="I46" i="6"/>
  <c r="D40" i="7" s="1"/>
  <c r="D120" i="14"/>
  <c r="D120" i="13"/>
  <c r="D120" i="12"/>
  <c r="D113" i="14"/>
  <c r="D113" i="13"/>
  <c r="G113" i="7"/>
  <c r="H113" i="14" s="1"/>
  <c r="D113" i="12"/>
  <c r="D101" i="14"/>
  <c r="G101" i="7"/>
  <c r="H101" i="14" s="1"/>
  <c r="D101" i="13"/>
  <c r="D101" i="12"/>
  <c r="D122" i="14"/>
  <c r="D122" i="13"/>
  <c r="G122" i="7"/>
  <c r="H122" i="14" s="1"/>
  <c r="D122" i="12"/>
  <c r="D99" i="14"/>
  <c r="G99" i="7"/>
  <c r="H99" i="14" s="1"/>
  <c r="D99" i="13"/>
  <c r="D99" i="12"/>
  <c r="D123" i="14"/>
  <c r="D123" i="13"/>
  <c r="D123" i="12"/>
  <c r="G123" i="7"/>
  <c r="H123" i="14" s="1"/>
  <c r="D109" i="14"/>
  <c r="G109" i="7"/>
  <c r="H109" i="14" s="1"/>
  <c r="D109" i="12"/>
  <c r="D109" i="13"/>
  <c r="D115" i="14"/>
  <c r="D115" i="13"/>
  <c r="D115" i="12"/>
  <c r="G115" i="7"/>
  <c r="H115" i="14" s="1"/>
  <c r="D104" i="14"/>
  <c r="G104" i="7"/>
  <c r="H104" i="14" s="1"/>
  <c r="D104" i="13"/>
  <c r="D104" i="12"/>
  <c r="D106" i="14"/>
  <c r="D106" i="12"/>
  <c r="G106" i="7"/>
  <c r="H106" i="14" s="1"/>
  <c r="D106" i="13"/>
  <c r="D111" i="14"/>
  <c r="D111" i="13"/>
  <c r="G111" i="7"/>
  <c r="H111" i="14" s="1"/>
  <c r="D111" i="12"/>
  <c r="D102" i="14"/>
  <c r="D102" i="13"/>
  <c r="G102" i="7"/>
  <c r="H102" i="14" s="1"/>
  <c r="D102" i="12"/>
  <c r="D95" i="14"/>
  <c r="D95" i="12"/>
  <c r="D95" i="13"/>
  <c r="G95" i="7"/>
  <c r="H95" i="14" s="1"/>
  <c r="D92" i="14"/>
  <c r="D92" i="12"/>
  <c r="G92" i="7"/>
  <c r="H92" i="14" s="1"/>
  <c r="D92" i="13"/>
  <c r="D117" i="14"/>
  <c r="D117" i="13"/>
  <c r="D117" i="12"/>
  <c r="D112" i="14"/>
  <c r="D112" i="12"/>
  <c r="G112" i="7"/>
  <c r="H112" i="14" s="1"/>
  <c r="D112" i="13"/>
  <c r="D118" i="14"/>
  <c r="D118" i="12"/>
  <c r="D118" i="13"/>
  <c r="D93" i="14"/>
  <c r="D93" i="12"/>
  <c r="D93" i="13"/>
  <c r="G93" i="7"/>
  <c r="H93" i="14" s="1"/>
  <c r="D116" i="14"/>
  <c r="D116" i="12"/>
  <c r="G116" i="7"/>
  <c r="H116" i="14" s="1"/>
  <c r="D116" i="13"/>
  <c r="D110" i="14"/>
  <c r="D110" i="13"/>
  <c r="G110" i="7"/>
  <c r="H110" i="14" s="1"/>
  <c r="D110" i="12"/>
  <c r="D97" i="14"/>
  <c r="G97" i="7"/>
  <c r="H97" i="14" s="1"/>
  <c r="D97" i="13"/>
  <c r="D97" i="12"/>
  <c r="D98" i="14"/>
  <c r="G98" i="7"/>
  <c r="H98" i="14" s="1"/>
  <c r="D98" i="12"/>
  <c r="D98" i="13"/>
  <c r="D108" i="14"/>
  <c r="G108" i="7"/>
  <c r="H108" i="14" s="1"/>
  <c r="D108" i="12"/>
  <c r="D108" i="13"/>
  <c r="D96" i="14"/>
  <c r="D96" i="12"/>
  <c r="G96" i="7"/>
  <c r="H96" i="14" s="1"/>
  <c r="D96" i="13"/>
  <c r="D107" i="14"/>
  <c r="G107" i="7"/>
  <c r="H107" i="14" s="1"/>
  <c r="D107" i="13"/>
  <c r="D107" i="12"/>
  <c r="D94" i="14"/>
  <c r="D94" i="13"/>
  <c r="G94" i="7"/>
  <c r="H94" i="14" s="1"/>
  <c r="D94" i="12"/>
  <c r="D114" i="14"/>
  <c r="G114" i="7"/>
  <c r="H114" i="14" s="1"/>
  <c r="D114" i="12"/>
  <c r="D114" i="13"/>
  <c r="D100" i="14"/>
  <c r="D100" i="12"/>
  <c r="G100" i="7"/>
  <c r="H100" i="14" s="1"/>
  <c r="D100" i="13"/>
  <c r="D121" i="14"/>
  <c r="D121" i="13"/>
  <c r="D121" i="12"/>
  <c r="D119" i="14"/>
  <c r="G119" i="7"/>
  <c r="H119" i="14" s="1"/>
  <c r="D119" i="13"/>
  <c r="D119" i="12"/>
  <c r="D105" i="14"/>
  <c r="G105" i="7"/>
  <c r="H105" i="14" s="1"/>
  <c r="D105" i="13"/>
  <c r="D105" i="12"/>
  <c r="D103" i="14"/>
  <c r="D103" i="13"/>
  <c r="G103" i="7"/>
  <c r="H103" i="14" s="1"/>
  <c r="D103" i="12"/>
  <c r="D34" i="14"/>
  <c r="I40" i="6"/>
  <c r="D34" i="7" s="1"/>
  <c r="D30" i="14"/>
  <c r="D35" i="14"/>
  <c r="I41" i="6"/>
  <c r="D35" i="7" s="1"/>
  <c r="D32" i="14"/>
  <c r="I38" i="6"/>
  <c r="D32" i="7" s="1"/>
  <c r="D36" i="14"/>
  <c r="I42" i="6"/>
  <c r="D36" i="7" s="1"/>
  <c r="D38" i="14"/>
  <c r="I44" i="6"/>
  <c r="D38" i="7" s="1"/>
  <c r="D31" i="14"/>
  <c r="I37" i="6"/>
  <c r="D31" i="7" s="1"/>
  <c r="D33" i="14"/>
  <c r="I39" i="6"/>
  <c r="D33" i="7" s="1"/>
  <c r="D37" i="14"/>
  <c r="I43" i="6"/>
  <c r="D37" i="7" s="1"/>
  <c r="D39" i="14"/>
  <c r="I45" i="6"/>
  <c r="D39" i="7" s="1"/>
  <c r="I22" i="11"/>
  <c r="K10" i="11" s="1"/>
  <c r="N50" i="7"/>
  <c r="J47" i="7"/>
  <c r="N72" i="7"/>
  <c r="I79" i="14"/>
  <c r="M79" i="14"/>
  <c r="I76" i="14"/>
  <c r="M76" i="14"/>
  <c r="I55" i="14"/>
  <c r="M55" i="14"/>
  <c r="I78" i="14"/>
  <c r="M78" i="14"/>
  <c r="I54" i="14"/>
  <c r="M54" i="14"/>
  <c r="I57" i="14"/>
  <c r="M57" i="14"/>
  <c r="I77" i="14"/>
  <c r="M77" i="14"/>
  <c r="I52" i="14"/>
  <c r="M52" i="14"/>
  <c r="I42" i="14"/>
  <c r="M42" i="14"/>
  <c r="I60" i="14"/>
  <c r="M60" i="14"/>
  <c r="I20" i="14"/>
  <c r="M20" i="14"/>
  <c r="I15" i="14"/>
  <c r="M15" i="14"/>
  <c r="I12" i="14"/>
  <c r="M12" i="14"/>
  <c r="I13" i="14"/>
  <c r="M13" i="14"/>
  <c r="I19" i="14"/>
  <c r="M19" i="14"/>
  <c r="I18" i="14"/>
  <c r="M18" i="14"/>
  <c r="I17" i="14"/>
  <c r="M17" i="14"/>
  <c r="I16" i="14"/>
  <c r="M16" i="14"/>
  <c r="I10" i="14"/>
  <c r="M10" i="14"/>
  <c r="N71" i="7"/>
  <c r="N48" i="7"/>
  <c r="N73" i="7"/>
  <c r="H85" i="13"/>
  <c r="L85" i="13" s="1"/>
  <c r="I14" i="14"/>
  <c r="N64" i="7"/>
  <c r="N56" i="7"/>
  <c r="J69" i="7"/>
  <c r="N74" i="7"/>
  <c r="N46" i="7"/>
  <c r="N53" i="7"/>
  <c r="D38" i="13"/>
  <c r="D38" i="12"/>
  <c r="D31" i="13"/>
  <c r="D31" i="12"/>
  <c r="D14" i="7"/>
  <c r="N14" i="7" s="1"/>
  <c r="D14" i="13"/>
  <c r="D14" i="12"/>
  <c r="H14" i="12" s="1"/>
  <c r="L14" i="12" s="1"/>
  <c r="D68" i="7"/>
  <c r="N68" i="7" s="1"/>
  <c r="D68" i="13"/>
  <c r="D68" i="12"/>
  <c r="D55" i="7"/>
  <c r="J55" i="7" s="1"/>
  <c r="D55" i="13"/>
  <c r="H55" i="13" s="1"/>
  <c r="D55" i="12"/>
  <c r="H55" i="12" s="1"/>
  <c r="L55" i="12" s="1"/>
  <c r="N84" i="7"/>
  <c r="H24" i="12"/>
  <c r="L24" i="12"/>
  <c r="D36" i="13"/>
  <c r="D36" i="12"/>
  <c r="D18" i="7"/>
  <c r="J18" i="7" s="1"/>
  <c r="D18" i="13"/>
  <c r="H18" i="13" s="1"/>
  <c r="D18" i="12"/>
  <c r="H18" i="12" s="1"/>
  <c r="L18" i="12" s="1"/>
  <c r="D17" i="7"/>
  <c r="J17" i="7" s="1"/>
  <c r="D17" i="13"/>
  <c r="H17" i="13" s="1"/>
  <c r="D17" i="12"/>
  <c r="H17" i="12" s="1"/>
  <c r="L17" i="12" s="1"/>
  <c r="D78" i="7"/>
  <c r="J78" i="7" s="1"/>
  <c r="D78" i="13"/>
  <c r="H78" i="13" s="1"/>
  <c r="D78" i="12"/>
  <c r="H78" i="12" s="1"/>
  <c r="L78" i="12" s="1"/>
  <c r="D16" i="13"/>
  <c r="H16" i="13" s="1"/>
  <c r="D16" i="12"/>
  <c r="H16" i="12" s="1"/>
  <c r="L16" i="12" s="1"/>
  <c r="D16" i="7"/>
  <c r="N16" i="7" s="1"/>
  <c r="D10" i="7"/>
  <c r="J10" i="7" s="1"/>
  <c r="D10" i="13"/>
  <c r="D10" i="12"/>
  <c r="H10" i="12" s="1"/>
  <c r="L10" i="12" s="1"/>
  <c r="D30" i="13"/>
  <c r="D11" i="7"/>
  <c r="J11" i="7" s="1"/>
  <c r="J23" i="11" s="1"/>
  <c r="D11" i="13"/>
  <c r="D11" i="12"/>
  <c r="D52" i="7"/>
  <c r="N52" i="7" s="1"/>
  <c r="D52" i="13"/>
  <c r="D52" i="12"/>
  <c r="H52" i="12" s="1"/>
  <c r="L52" i="12" s="1"/>
  <c r="D57" i="7"/>
  <c r="N57" i="7" s="1"/>
  <c r="D57" i="13"/>
  <c r="H57" i="13" s="1"/>
  <c r="D57" i="12"/>
  <c r="H57" i="12" s="1"/>
  <c r="L57" i="12" s="1"/>
  <c r="D67" i="7"/>
  <c r="J67" i="7" s="1"/>
  <c r="D67" i="13"/>
  <c r="D67" i="12"/>
  <c r="D15" i="7"/>
  <c r="J15" i="7" s="1"/>
  <c r="D15" i="13"/>
  <c r="H15" i="13" s="1"/>
  <c r="D15" i="12"/>
  <c r="H15" i="12" s="1"/>
  <c r="L15" i="12" s="1"/>
  <c r="J70" i="7"/>
  <c r="L23" i="12"/>
  <c r="H23" i="12"/>
  <c r="D62" i="7"/>
  <c r="D62" i="13"/>
  <c r="D62" i="12"/>
  <c r="D66" i="7"/>
  <c r="N66" i="7" s="1"/>
  <c r="D66" i="13"/>
  <c r="D66" i="12"/>
  <c r="N23" i="7"/>
  <c r="J23" i="7"/>
  <c r="D13" i="7"/>
  <c r="J13" i="7" s="1"/>
  <c r="D13" i="13"/>
  <c r="H13" i="13" s="1"/>
  <c r="D13" i="12"/>
  <c r="H13" i="12" s="1"/>
  <c r="L13" i="12" s="1"/>
  <c r="D35" i="13"/>
  <c r="D35" i="12"/>
  <c r="G91" i="7"/>
  <c r="D91" i="13"/>
  <c r="D91" i="12"/>
  <c r="D19" i="7"/>
  <c r="J19" i="7" s="1"/>
  <c r="D19" i="13"/>
  <c r="H19" i="13" s="1"/>
  <c r="D19" i="12"/>
  <c r="H19" i="12" s="1"/>
  <c r="L19" i="12" s="1"/>
  <c r="D79" i="7"/>
  <c r="N79" i="7" s="1"/>
  <c r="D79" i="13"/>
  <c r="D79" i="12"/>
  <c r="H79" i="12" s="1"/>
  <c r="L79" i="12" s="1"/>
  <c r="D32" i="13"/>
  <c r="D32" i="12"/>
  <c r="N49" i="7"/>
  <c r="N51" i="7"/>
  <c r="L25" i="12"/>
  <c r="H25" i="12"/>
  <c r="D63" i="7"/>
  <c r="D63" i="13"/>
  <c r="D63" i="12"/>
  <c r="D34" i="13"/>
  <c r="D34" i="12"/>
  <c r="D12" i="7"/>
  <c r="N12" i="7" s="1"/>
  <c r="D12" i="13"/>
  <c r="H12" i="13" s="1"/>
  <c r="D12" i="12"/>
  <c r="H12" i="12" s="1"/>
  <c r="L12" i="12" s="1"/>
  <c r="D42" i="7"/>
  <c r="J42" i="7" s="1"/>
  <c r="D42" i="13"/>
  <c r="D42" i="12"/>
  <c r="H42" i="12" s="1"/>
  <c r="L42" i="12" s="1"/>
  <c r="D60" i="7"/>
  <c r="N60" i="7" s="1"/>
  <c r="D60" i="13"/>
  <c r="H60" i="13" s="1"/>
  <c r="D60" i="12"/>
  <c r="H60" i="12" s="1"/>
  <c r="D65" i="7"/>
  <c r="N65" i="7" s="1"/>
  <c r="D65" i="13"/>
  <c r="D65" i="12"/>
  <c r="D33" i="13"/>
  <c r="D33" i="12"/>
  <c r="D37" i="13"/>
  <c r="D37" i="12"/>
  <c r="J45" i="7"/>
  <c r="N45" i="7"/>
  <c r="D54" i="7"/>
  <c r="J54" i="7" s="1"/>
  <c r="D54" i="13"/>
  <c r="D54" i="12"/>
  <c r="H54" i="12" s="1"/>
  <c r="L54" i="12" s="1"/>
  <c r="D39" i="13"/>
  <c r="D39" i="12"/>
  <c r="D61" i="7"/>
  <c r="D61" i="13"/>
  <c r="D61" i="12"/>
  <c r="D76" i="7"/>
  <c r="J76" i="7" s="1"/>
  <c r="D76" i="13"/>
  <c r="H76" i="13" s="1"/>
  <c r="D76" i="12"/>
  <c r="H76" i="12" s="1"/>
  <c r="L76" i="12" s="1"/>
  <c r="D77" i="7"/>
  <c r="J77" i="7" s="1"/>
  <c r="D77" i="13"/>
  <c r="H77" i="13" s="1"/>
  <c r="D77" i="12"/>
  <c r="H77" i="12" s="1"/>
  <c r="L77" i="12" s="1"/>
  <c r="D20" i="7"/>
  <c r="J20" i="7" s="1"/>
  <c r="D20" i="13"/>
  <c r="H20" i="13" s="1"/>
  <c r="D20" i="12"/>
  <c r="H20" i="12" s="1"/>
  <c r="D40" i="14"/>
  <c r="D226" i="1"/>
  <c r="I31" i="1"/>
  <c r="N85" i="7" l="1"/>
  <c r="G95" i="12"/>
  <c r="G111" i="13"/>
  <c r="G111" i="12"/>
  <c r="G96" i="13"/>
  <c r="G95" i="13"/>
  <c r="G101" i="13"/>
  <c r="G104" i="12"/>
  <c r="G101" i="12"/>
  <c r="G99" i="13"/>
  <c r="G109" i="12"/>
  <c r="G93" i="13"/>
  <c r="G97" i="13"/>
  <c r="H11" i="12"/>
  <c r="H11" i="13"/>
  <c r="N11" i="7"/>
  <c r="G102" i="13"/>
  <c r="G106" i="13"/>
  <c r="G98" i="12"/>
  <c r="G109" i="13"/>
  <c r="G98" i="13"/>
  <c r="G99" i="12"/>
  <c r="G104" i="13"/>
  <c r="G92" i="12"/>
  <c r="G93" i="12"/>
  <c r="G105" i="12"/>
  <c r="G112" i="13"/>
  <c r="G113" i="12"/>
  <c r="G92" i="13"/>
  <c r="G112" i="12"/>
  <c r="G100" i="12"/>
  <c r="G102" i="12"/>
  <c r="G106" i="12"/>
  <c r="G113" i="13"/>
  <c r="G103" i="13"/>
  <c r="G103" i="12"/>
  <c r="G116" i="12"/>
  <c r="G116" i="13"/>
  <c r="G123" i="13"/>
  <c r="G108" i="12"/>
  <c r="G123" i="12"/>
  <c r="G119" i="12"/>
  <c r="G122" i="13"/>
  <c r="G122" i="12"/>
  <c r="G105" i="13"/>
  <c r="G97" i="12"/>
  <c r="G110" i="12"/>
  <c r="G94" i="13"/>
  <c r="G114" i="12"/>
  <c r="G110" i="13"/>
  <c r="G107" i="13"/>
  <c r="G115" i="13"/>
  <c r="G115" i="12"/>
  <c r="G100" i="13"/>
  <c r="G94" i="12"/>
  <c r="G96" i="12"/>
  <c r="G108" i="13"/>
  <c r="G107" i="12"/>
  <c r="G114" i="13"/>
  <c r="G119" i="13"/>
  <c r="J40" i="7"/>
  <c r="J60" i="7"/>
  <c r="H91" i="14"/>
  <c r="U20" i="7"/>
  <c r="U21" i="7" s="1" a="1"/>
  <c r="U21" i="7" s="1"/>
  <c r="I40" i="14"/>
  <c r="T10" i="14" s="1"/>
  <c r="T8" i="14" s="1" a="1"/>
  <c r="T8" i="14" s="1"/>
  <c r="M40" i="14"/>
  <c r="U10" i="14" s="1"/>
  <c r="U8" i="14" s="1" a="1"/>
  <c r="U8" i="14" s="1"/>
  <c r="N17" i="7"/>
  <c r="N67" i="7"/>
  <c r="N55" i="7"/>
  <c r="N10" i="7"/>
  <c r="N18" i="7"/>
  <c r="N19" i="7"/>
  <c r="J14" i="7"/>
  <c r="J65" i="7"/>
  <c r="J66" i="7"/>
  <c r="N76" i="7"/>
  <c r="N42" i="7"/>
  <c r="N15" i="7"/>
  <c r="J68" i="7"/>
  <c r="J57" i="7"/>
  <c r="J79" i="7"/>
  <c r="H14" i="13"/>
  <c r="L14" i="13" s="1"/>
  <c r="H52" i="13"/>
  <c r="L52" i="13" s="1"/>
  <c r="H10" i="13"/>
  <c r="L10" i="13" s="1"/>
  <c r="H42" i="13"/>
  <c r="L42" i="13" s="1"/>
  <c r="N77" i="7"/>
  <c r="J52" i="7"/>
  <c r="N54" i="7"/>
  <c r="N78" i="7"/>
  <c r="G91" i="12"/>
  <c r="G91" i="13"/>
  <c r="U19" i="7"/>
  <c r="N13" i="7"/>
  <c r="J16" i="7"/>
  <c r="D40" i="13"/>
  <c r="H40" i="13" s="1"/>
  <c r="D40" i="12"/>
  <c r="H40" i="12" s="1"/>
  <c r="L40" i="12" s="1"/>
  <c r="J12" i="7"/>
  <c r="N20" i="7"/>
  <c r="L20" i="12"/>
  <c r="L20" i="13"/>
  <c r="D10" i="1"/>
  <c r="H32" i="1" s="1"/>
  <c r="D13" i="4"/>
  <c r="U9" i="14" l="1"/>
  <c r="U13" i="14" s="1"/>
  <c r="T9" i="14"/>
  <c r="T13" i="14" s="1"/>
  <c r="T14" i="14" s="1" a="1"/>
  <c r="T14" i="14" s="1"/>
  <c r="S10" i="13"/>
  <c r="S8" i="13" s="1" a="1"/>
  <c r="S8" i="13" s="1"/>
  <c r="N40" i="7"/>
  <c r="V10" i="7" s="1"/>
  <c r="S9" i="13"/>
  <c r="U11" i="7"/>
  <c r="U12" i="7"/>
  <c r="U13" i="7"/>
  <c r="S10" i="12"/>
  <c r="S8" i="12" s="1" a="1"/>
  <c r="S8" i="12" s="1"/>
  <c r="S9" i="12"/>
  <c r="U10" i="7"/>
  <c r="T9" i="12"/>
  <c r="T10" i="12"/>
  <c r="T8" i="12" s="1" a="1"/>
  <c r="T8" i="12" s="1"/>
  <c r="T9" i="13"/>
  <c r="T10" i="13"/>
  <c r="T8" i="13" s="1" a="1"/>
  <c r="T8" i="13" s="1"/>
  <c r="D9" i="6"/>
  <c r="F22" i="1"/>
  <c r="G22" i="1" s="1"/>
  <c r="F23" i="1"/>
  <c r="G23" i="1" s="1"/>
  <c r="F29" i="1"/>
  <c r="G29" i="1" s="1"/>
  <c r="F24" i="1"/>
  <c r="G24" i="1" s="1"/>
  <c r="F25" i="1"/>
  <c r="G25" i="1" s="1"/>
  <c r="F26" i="1"/>
  <c r="G26" i="1" s="1"/>
  <c r="F19" i="1"/>
  <c r="G19" i="1" s="1"/>
  <c r="F27" i="1"/>
  <c r="G27" i="1" s="1"/>
  <c r="F20" i="1"/>
  <c r="G20" i="1" s="1"/>
  <c r="F18" i="1"/>
  <c r="G18" i="1" s="1"/>
  <c r="F21" i="1"/>
  <c r="G21" i="1" s="1"/>
  <c r="H54" i="1"/>
  <c r="F54" i="1" s="1"/>
  <c r="G54" i="1" s="1"/>
  <c r="H55" i="1"/>
  <c r="F55" i="1" s="1"/>
  <c r="G55" i="1" s="1"/>
  <c r="H56" i="1"/>
  <c r="F56" i="1" s="1"/>
  <c r="G56" i="1" s="1"/>
  <c r="H52" i="1"/>
  <c r="F52" i="1" s="1"/>
  <c r="G52" i="1" s="1"/>
  <c r="H53" i="1"/>
  <c r="F53" i="1" s="1"/>
  <c r="G53" i="1" s="1"/>
  <c r="H51" i="1"/>
  <c r="F51" i="1" s="1"/>
  <c r="G51" i="1" s="1"/>
  <c r="H57" i="1"/>
  <c r="F57" i="1" s="1"/>
  <c r="G57" i="1" s="1"/>
  <c r="H17" i="1"/>
  <c r="H45" i="1"/>
  <c r="H24" i="1"/>
  <c r="H25" i="1"/>
  <c r="H29" i="1"/>
  <c r="H26" i="1"/>
  <c r="H19" i="1"/>
  <c r="H27" i="1"/>
  <c r="H22" i="1"/>
  <c r="H23" i="1"/>
  <c r="H20" i="1"/>
  <c r="H18" i="1"/>
  <c r="H21" i="1"/>
  <c r="H38" i="1"/>
  <c r="I38" i="1" s="1"/>
  <c r="E198" i="1" s="1"/>
  <c r="H33" i="1"/>
  <c r="I33" i="1" s="1"/>
  <c r="E193" i="1" s="1"/>
  <c r="H34" i="1"/>
  <c r="I34" i="1" s="1"/>
  <c r="E194" i="1" s="1"/>
  <c r="H35" i="1"/>
  <c r="I35" i="1" s="1"/>
  <c r="E195" i="1" s="1"/>
  <c r="H36" i="1"/>
  <c r="I36" i="1" s="1"/>
  <c r="E196" i="1" s="1"/>
  <c r="H37" i="1"/>
  <c r="I37" i="1" s="1"/>
  <c r="E197" i="1" s="1"/>
  <c r="AB197" i="1" s="1"/>
  <c r="AB212" i="1" s="1"/>
  <c r="AB214" i="1" s="1"/>
  <c r="H39" i="1"/>
  <c r="I39" i="1" s="1"/>
  <c r="H40" i="1"/>
  <c r="I40" i="1" s="1"/>
  <c r="H41" i="1"/>
  <c r="I41" i="1" s="1"/>
  <c r="E201" i="1" s="1"/>
  <c r="I32" i="1"/>
  <c r="E192" i="1" s="1"/>
  <c r="E223" i="1"/>
  <c r="F38" i="11" l="1"/>
  <c r="G45" i="1"/>
  <c r="F225" i="1"/>
  <c r="H225" i="1" s="1"/>
  <c r="E135" i="1" s="1"/>
  <c r="W135" i="1" s="1"/>
  <c r="F258" i="1"/>
  <c r="I45" i="1"/>
  <c r="E189" i="1" s="1"/>
  <c r="S16" i="14" a="1"/>
  <c r="S16" i="14" s="1"/>
  <c r="I87" i="14" s="1"/>
  <c r="I20" i="11" s="1"/>
  <c r="K8" i="11" s="1"/>
  <c r="V12" i="7"/>
  <c r="V11" i="7"/>
  <c r="V13" i="7"/>
  <c r="S13" i="13"/>
  <c r="S14" i="13" s="1" a="1"/>
  <c r="S14" i="13" s="1"/>
  <c r="U9" i="7" a="1"/>
  <c r="U9" i="7" s="1"/>
  <c r="S13" i="12"/>
  <c r="S14" i="12" s="1" a="1"/>
  <c r="S14" i="12" s="1"/>
  <c r="U14" i="7"/>
  <c r="U15" i="7" s="1" a="1"/>
  <c r="U15" i="7" s="1"/>
  <c r="T13" i="12"/>
  <c r="T13" i="13"/>
  <c r="I53" i="1"/>
  <c r="E205" i="1" s="1"/>
  <c r="AE205" i="1" s="1"/>
  <c r="I57" i="1"/>
  <c r="E210" i="1" s="1"/>
  <c r="Z210" i="1" s="1"/>
  <c r="I56" i="1"/>
  <c r="E209" i="1" s="1"/>
  <c r="AE209" i="1" s="1"/>
  <c r="I55" i="1"/>
  <c r="E208" i="1" s="1"/>
  <c r="AE208" i="1" s="1"/>
  <c r="I54" i="1"/>
  <c r="E207" i="1" s="1"/>
  <c r="AE207" i="1" s="1"/>
  <c r="I52" i="1"/>
  <c r="E204" i="1" s="1"/>
  <c r="O204" i="1" s="1"/>
  <c r="I51" i="1"/>
  <c r="E203" i="1" s="1"/>
  <c r="AE203" i="1" s="1"/>
  <c r="E200" i="1"/>
  <c r="AE200" i="1" s="1"/>
  <c r="E199" i="1"/>
  <c r="AE199" i="1" s="1"/>
  <c r="F230" i="1"/>
  <c r="F232" i="1"/>
  <c r="W197" i="1"/>
  <c r="AE197" i="1"/>
  <c r="AD197" i="1"/>
  <c r="W196" i="1"/>
  <c r="AE196" i="1"/>
  <c r="AE194" i="1"/>
  <c r="AC194" i="1"/>
  <c r="R194" i="1"/>
  <c r="AD194" i="1"/>
  <c r="X192" i="1"/>
  <c r="AE192" i="1"/>
  <c r="AD192" i="1"/>
  <c r="R192" i="1"/>
  <c r="K193" i="1"/>
  <c r="AE193" i="1"/>
  <c r="AD193" i="1"/>
  <c r="X201" i="1"/>
  <c r="AE201" i="1"/>
  <c r="AE198" i="1"/>
  <c r="W198" i="1"/>
  <c r="AE195" i="1"/>
  <c r="R195" i="1"/>
  <c r="F243" i="1"/>
  <c r="F254" i="1"/>
  <c r="F272" i="1"/>
  <c r="G46" i="1" l="1"/>
  <c r="AJ4" i="1"/>
  <c r="AJ5" i="1" s="1"/>
  <c r="AE189" i="1"/>
  <c r="AA189" i="1"/>
  <c r="W189" i="1"/>
  <c r="AD189" i="1"/>
  <c r="R16" i="13" a="1"/>
  <c r="R16" i="13" s="1"/>
  <c r="R16" i="12" a="1"/>
  <c r="R16" i="12" s="1"/>
  <c r="H87" i="12" s="1"/>
  <c r="I18" i="11" s="1"/>
  <c r="K6" i="11" s="1"/>
  <c r="V9" i="7" a="1"/>
  <c r="V9" i="7" s="1"/>
  <c r="V14" i="7"/>
  <c r="K210" i="1"/>
  <c r="AD210" i="1"/>
  <c r="AE210" i="1"/>
  <c r="S210" i="1"/>
  <c r="Q210" i="1"/>
  <c r="M210" i="1"/>
  <c r="O205" i="1"/>
  <c r="O203" i="1"/>
  <c r="W199" i="1"/>
  <c r="AC199" i="1"/>
  <c r="AA199" i="1"/>
  <c r="Z199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7" i="1"/>
  <c r="F256" i="1"/>
  <c r="F255" i="1"/>
  <c r="F253" i="1"/>
  <c r="F252" i="1"/>
  <c r="F251" i="1"/>
  <c r="F250" i="1"/>
  <c r="F249" i="1"/>
  <c r="F248" i="1"/>
  <c r="F247" i="1"/>
  <c r="F246" i="1"/>
  <c r="F245" i="1"/>
  <c r="F244" i="1"/>
  <c r="F242" i="1"/>
  <c r="F241" i="1"/>
  <c r="F240" i="1"/>
  <c r="F239" i="1"/>
  <c r="F238" i="1"/>
  <c r="F237" i="1"/>
  <c r="F236" i="1"/>
  <c r="F235" i="1"/>
  <c r="F234" i="1"/>
  <c r="F233" i="1"/>
  <c r="F231" i="1"/>
  <c r="F229" i="1"/>
  <c r="F228" i="1"/>
  <c r="F227" i="1"/>
  <c r="F226" i="1"/>
  <c r="H87" i="13" l="1"/>
  <c r="I19" i="11" s="1"/>
  <c r="U16" i="7" a="1"/>
  <c r="U16" i="7" s="1"/>
  <c r="J87" i="7" s="1"/>
  <c r="I17" i="11" s="1"/>
  <c r="N5" i="11" s="1"/>
  <c r="M6" i="11"/>
  <c r="N6" i="11"/>
  <c r="O6" i="11"/>
  <c r="H272" i="1"/>
  <c r="H271" i="1"/>
  <c r="H270" i="1"/>
  <c r="H269" i="1"/>
  <c r="H268" i="1"/>
  <c r="E183" i="1" s="1"/>
  <c r="H267" i="1"/>
  <c r="H266" i="1"/>
  <c r="H265" i="1"/>
  <c r="H264" i="1"/>
  <c r="H263" i="1"/>
  <c r="E178" i="1" s="1"/>
  <c r="H262" i="1"/>
  <c r="G4" i="4"/>
  <c r="G5" i="4" s="1"/>
  <c r="H237" i="1"/>
  <c r="H235" i="1"/>
  <c r="H246" i="1"/>
  <c r="H245" i="1"/>
  <c r="H244" i="1"/>
  <c r="H243" i="1"/>
  <c r="E155" i="1" s="1"/>
  <c r="H242" i="1"/>
  <c r="E154" i="1" s="1"/>
  <c r="H241" i="1"/>
  <c r="E153" i="1" s="1"/>
  <c r="H240" i="1"/>
  <c r="H239" i="1"/>
  <c r="H238" i="1"/>
  <c r="H236" i="1"/>
  <c r="H233" i="1"/>
  <c r="E144" i="1" s="1"/>
  <c r="H232" i="1"/>
  <c r="E143" i="1" s="1"/>
  <c r="H231" i="1"/>
  <c r="E142" i="1" s="1"/>
  <c r="H230" i="1"/>
  <c r="E141" i="1" s="1"/>
  <c r="H229" i="1"/>
  <c r="E140" i="1" s="1"/>
  <c r="H228" i="1"/>
  <c r="E139" i="1" s="1"/>
  <c r="H227" i="1"/>
  <c r="E138" i="1" s="1"/>
  <c r="M7" i="11" l="1"/>
  <c r="K7" i="11"/>
  <c r="N7" i="11"/>
  <c r="N3" i="11" s="1"/>
  <c r="O7" i="11"/>
  <c r="M5" i="11"/>
  <c r="K5" i="11"/>
  <c r="O5" i="11"/>
  <c r="E179" i="1"/>
  <c r="AD179" i="1" s="1"/>
  <c r="E187" i="1"/>
  <c r="AE187" i="1" s="1"/>
  <c r="E180" i="1"/>
  <c r="AE180" i="1" s="1"/>
  <c r="E182" i="1"/>
  <c r="W182" i="1" s="1"/>
  <c r="AE183" i="1"/>
  <c r="E184" i="1"/>
  <c r="AF184" i="1" s="1"/>
  <c r="E181" i="1"/>
  <c r="R181" i="1" s="1"/>
  <c r="E177" i="1"/>
  <c r="AE177" i="1" s="1"/>
  <c r="E185" i="1"/>
  <c r="M185" i="1" s="1"/>
  <c r="AE178" i="1"/>
  <c r="E186" i="1"/>
  <c r="N186" i="1" s="1"/>
  <c r="E157" i="1"/>
  <c r="AE157" i="1" s="1"/>
  <c r="E150" i="1"/>
  <c r="AE150" i="1" s="1"/>
  <c r="E147" i="1"/>
  <c r="T147" i="1" s="1"/>
  <c r="E152" i="1"/>
  <c r="Y152" i="1" s="1"/>
  <c r="E151" i="1"/>
  <c r="AE151" i="1" s="1"/>
  <c r="E149" i="1"/>
  <c r="L149" i="1" s="1"/>
  <c r="E148" i="1"/>
  <c r="K148" i="1" s="1"/>
  <c r="E158" i="1"/>
  <c r="AE158" i="1" s="1"/>
  <c r="E156" i="1"/>
  <c r="AE156" i="1" s="1"/>
  <c r="AE153" i="1"/>
  <c r="R154" i="1"/>
  <c r="AE155" i="1"/>
  <c r="R138" i="1"/>
  <c r="V142" i="1"/>
  <c r="R143" i="1"/>
  <c r="J183" i="1"/>
  <c r="V141" i="1"/>
  <c r="R141" i="1"/>
  <c r="Q144" i="1"/>
  <c r="V144" i="1"/>
  <c r="V139" i="1"/>
  <c r="AD139" i="1"/>
  <c r="R139" i="1"/>
  <c r="L140" i="1"/>
  <c r="K140" i="1"/>
  <c r="AD140" i="1"/>
  <c r="O3" i="11" l="1"/>
  <c r="M3" i="11"/>
  <c r="AC178" i="1"/>
  <c r="L178" i="1"/>
  <c r="Z187" i="1"/>
  <c r="X187" i="1"/>
  <c r="N187" i="1"/>
  <c r="AC179" i="1"/>
  <c r="N184" i="1"/>
  <c r="W180" i="1"/>
  <c r="K178" i="1"/>
  <c r="AD180" i="1"/>
  <c r="X186" i="1"/>
  <c r="W185" i="1"/>
  <c r="Y182" i="1"/>
  <c r="W179" i="1"/>
  <c r="R180" i="1"/>
  <c r="Q185" i="1"/>
  <c r="Z186" i="1"/>
  <c r="AA177" i="1"/>
  <c r="AD177" i="1"/>
  <c r="R151" i="1"/>
  <c r="W177" i="1"/>
  <c r="W151" i="1"/>
  <c r="AD181" i="1"/>
  <c r="AE186" i="1"/>
  <c r="AE181" i="1"/>
  <c r="W181" i="1"/>
  <c r="AD186" i="1"/>
  <c r="AI200" i="1"/>
  <c r="AH202" i="1"/>
  <c r="AD150" i="1"/>
  <c r="AD182" i="1"/>
  <c r="AE185" i="1"/>
  <c r="AE179" i="1"/>
  <c r="R179" i="1"/>
  <c r="AA178" i="1"/>
  <c r="AC177" i="1"/>
  <c r="S185" i="1"/>
  <c r="AA185" i="1"/>
  <c r="Y177" i="1"/>
  <c r="AD178" i="1"/>
  <c r="AE182" i="1"/>
  <c r="Y185" i="1"/>
  <c r="AC182" i="1"/>
  <c r="Z185" i="1"/>
  <c r="AD185" i="1"/>
  <c r="AC185" i="1"/>
  <c r="T185" i="1"/>
  <c r="W178" i="1"/>
  <c r="O150" i="1"/>
  <c r="O212" i="1" s="1"/>
  <c r="AD187" i="1"/>
  <c r="AD151" i="1"/>
  <c r="AC149" i="1"/>
  <c r="R149" i="1"/>
  <c r="AC151" i="1"/>
  <c r="AD149" i="1"/>
  <c r="K149" i="1"/>
  <c r="L147" i="1"/>
  <c r="J147" i="1"/>
  <c r="AE152" i="1"/>
  <c r="L148" i="1"/>
  <c r="AE148" i="1"/>
  <c r="AE147" i="1"/>
  <c r="N147" i="1"/>
  <c r="R152" i="1"/>
  <c r="R147" i="1"/>
  <c r="AD148" i="1"/>
  <c r="AC147" i="1"/>
  <c r="AE149" i="1"/>
  <c r="AD152" i="1"/>
  <c r="AC148" i="1"/>
  <c r="R155" i="1"/>
  <c r="V143" i="1"/>
  <c r="AD153" i="1"/>
  <c r="AD155" i="1"/>
  <c r="AD157" i="1"/>
  <c r="AC154" i="1"/>
  <c r="Y153" i="1"/>
  <c r="J155" i="1"/>
  <c r="AD154" i="1"/>
  <c r="J154" i="1"/>
  <c r="R156" i="1"/>
  <c r="AD156" i="1"/>
  <c r="R142" i="1"/>
  <c r="P3" i="11" l="1"/>
  <c r="O214" i="1"/>
  <c r="K212" i="1"/>
  <c r="K214" i="1" s="1"/>
  <c r="AH198" i="1"/>
  <c r="J212" i="1"/>
  <c r="J214" i="1" s="1"/>
  <c r="H261" i="1" l="1"/>
  <c r="H260" i="1"/>
  <c r="H252" i="1"/>
  <c r="E176" i="1" l="1"/>
  <c r="Y176" i="1" s="1"/>
  <c r="E166" i="1"/>
  <c r="AE166" i="1" s="1"/>
  <c r="E175" i="1"/>
  <c r="AA175" i="1" s="1"/>
  <c r="M175" i="1" l="1"/>
  <c r="Y175" i="1"/>
  <c r="AC175" i="1"/>
  <c r="Z175" i="1"/>
  <c r="M176" i="1"/>
  <c r="Q175" i="1"/>
  <c r="AE175" i="1"/>
  <c r="S175" i="1"/>
  <c r="T175" i="1"/>
  <c r="Z176" i="1"/>
  <c r="AE176" i="1"/>
  <c r="AD176" i="1"/>
  <c r="S176" i="1"/>
  <c r="W175" i="1"/>
  <c r="AD175" i="1"/>
  <c r="AA176" i="1"/>
  <c r="AC176" i="1"/>
  <c r="Q176" i="1"/>
  <c r="T176" i="1"/>
  <c r="W176" i="1"/>
  <c r="H234" i="1"/>
  <c r="E146" i="1" s="1"/>
  <c r="AC146" i="1" l="1"/>
  <c r="L146" i="1"/>
  <c r="L212" i="1" s="1"/>
  <c r="L214" i="1" s="1"/>
  <c r="H259" i="1"/>
  <c r="H258" i="1"/>
  <c r="H257" i="1"/>
  <c r="H256" i="1"/>
  <c r="H255" i="1"/>
  <c r="H254" i="1"/>
  <c r="H253" i="1"/>
  <c r="H251" i="1"/>
  <c r="H250" i="1"/>
  <c r="E164" i="1" s="1"/>
  <c r="AE164" i="1" s="1"/>
  <c r="H248" i="1"/>
  <c r="H249" i="1"/>
  <c r="H247" i="1"/>
  <c r="E161" i="1" s="1"/>
  <c r="H226" i="1"/>
  <c r="E168" i="1" l="1"/>
  <c r="AE168" i="1" s="1"/>
  <c r="E169" i="1"/>
  <c r="AE169" i="1" s="1"/>
  <c r="E173" i="1"/>
  <c r="M173" i="1" s="1"/>
  <c r="E165" i="1"/>
  <c r="N165" i="1" s="1"/>
  <c r="E170" i="1"/>
  <c r="AE170" i="1" s="1"/>
  <c r="E163" i="1"/>
  <c r="AE163" i="1" s="1"/>
  <c r="E172" i="1"/>
  <c r="T172" i="1" s="1"/>
  <c r="E162" i="1"/>
  <c r="N162" i="1" s="1"/>
  <c r="E174" i="1"/>
  <c r="AE174" i="1" s="1"/>
  <c r="E167" i="1"/>
  <c r="AE167" i="1" s="1"/>
  <c r="E137" i="1"/>
  <c r="AE137" i="1" s="1"/>
  <c r="AE161" i="1"/>
  <c r="AD164" i="1"/>
  <c r="Z164" i="1"/>
  <c r="AD158" i="1"/>
  <c r="N164" i="1"/>
  <c r="Z174" i="1" l="1"/>
  <c r="T174" i="1"/>
  <c r="Z168" i="1"/>
  <c r="AD174" i="1"/>
  <c r="W174" i="1"/>
  <c r="Y174" i="1"/>
  <c r="N168" i="1"/>
  <c r="X168" i="1"/>
  <c r="AA174" i="1"/>
  <c r="M174" i="1"/>
  <c r="Q173" i="1"/>
  <c r="V170" i="1"/>
  <c r="AC174" i="1"/>
  <c r="S174" i="1"/>
  <c r="W173" i="1"/>
  <c r="S173" i="1"/>
  <c r="R137" i="1"/>
  <c r="X163" i="1"/>
  <c r="P172" i="1"/>
  <c r="P212" i="1" s="1"/>
  <c r="P214" i="1" s="1"/>
  <c r="AD163" i="1"/>
  <c r="N163" i="1"/>
  <c r="R170" i="1"/>
  <c r="Z163" i="1"/>
  <c r="N170" i="1"/>
  <c r="Z172" i="1"/>
  <c r="Z170" i="1"/>
  <c r="AI199" i="1"/>
  <c r="AH201" i="1"/>
  <c r="AD170" i="1"/>
  <c r="AD165" i="1"/>
  <c r="AE162" i="1"/>
  <c r="AE165" i="1"/>
  <c r="AE172" i="1"/>
  <c r="AE173" i="1"/>
  <c r="Q172" i="1"/>
  <c r="AA173" i="1"/>
  <c r="M172" i="1"/>
  <c r="AD172" i="1"/>
  <c r="AD173" i="1"/>
  <c r="V162" i="1"/>
  <c r="W172" i="1"/>
  <c r="T173" i="1"/>
  <c r="T212" i="1" s="1"/>
  <c r="T214" i="1" s="1"/>
  <c r="Y172" i="1"/>
  <c r="Z173" i="1"/>
  <c r="AD162" i="1"/>
  <c r="Z165" i="1"/>
  <c r="AC173" i="1"/>
  <c r="Y173" i="1"/>
  <c r="R162" i="1"/>
  <c r="AA172" i="1"/>
  <c r="AC172" i="1"/>
  <c r="Z162" i="1"/>
  <c r="Q174" i="1"/>
  <c r="AD168" i="1"/>
  <c r="V137" i="1"/>
  <c r="AD161" i="1"/>
  <c r="Z161" i="1"/>
  <c r="R161" i="1"/>
  <c r="N161" i="1"/>
  <c r="V161" i="1"/>
  <c r="AD169" i="1"/>
  <c r="AD166" i="1"/>
  <c r="AD167" i="1"/>
  <c r="Z169" i="1"/>
  <c r="Z166" i="1"/>
  <c r="V167" i="1"/>
  <c r="R167" i="1"/>
  <c r="Z167" i="1"/>
  <c r="E212" i="1"/>
  <c r="N167" i="1"/>
  <c r="N166" i="1"/>
  <c r="W169" i="1"/>
  <c r="U169" i="1"/>
  <c r="U212" i="1" s="1"/>
  <c r="U214" i="1" s="1"/>
  <c r="N169" i="1"/>
  <c r="AD212" i="1" l="1"/>
  <c r="AD214" i="1" s="1"/>
  <c r="W212" i="1"/>
  <c r="W214" i="1" s="1"/>
  <c r="AE212" i="1"/>
  <c r="AE214" i="1" s="1"/>
  <c r="AF212" i="1"/>
  <c r="AF214" i="1" s="1"/>
  <c r="AC212" i="1"/>
  <c r="AC214" i="1" s="1"/>
  <c r="AA212" i="1"/>
  <c r="AA214" i="1" s="1"/>
  <c r="X212" i="1"/>
  <c r="X214" i="1" s="1"/>
  <c r="S212" i="1"/>
  <c r="S214" i="1" s="1"/>
  <c r="M212" i="1"/>
  <c r="M214" i="1" s="1"/>
  <c r="Y212" i="1"/>
  <c r="Y214" i="1" s="1"/>
  <c r="AH199" i="1"/>
  <c r="Q212" i="1"/>
  <c r="Q214" i="1" s="1"/>
  <c r="AI198" i="1"/>
  <c r="AH200" i="1"/>
  <c r="R212" i="1"/>
  <c r="R214" i="1" s="1"/>
  <c r="V212" i="1"/>
  <c r="Z212" i="1"/>
  <c r="Z214" i="1" s="1"/>
  <c r="N212" i="1"/>
  <c r="N214" i="1" s="1"/>
  <c r="V214" i="1" l="1"/>
  <c r="AA216" i="1" s="1"/>
  <c r="AH8" i="1" s="1"/>
  <c r="F32" i="1" l="1"/>
  <c r="F33" i="1"/>
  <c r="F41" i="1"/>
  <c r="F38" i="1"/>
  <c r="F40" i="1"/>
  <c r="F36" i="1"/>
  <c r="F37" i="1"/>
  <c r="F34" i="1"/>
  <c r="F35" i="1"/>
  <c r="F39" i="1"/>
  <c r="F47" i="1"/>
  <c r="AA217" i="1"/>
  <c r="K26" i="1"/>
  <c r="K23" i="1"/>
  <c r="K17" i="1"/>
  <c r="K27" i="1"/>
  <c r="K18" i="1"/>
  <c r="G125" i="7"/>
  <c r="H125" i="14" s="1"/>
  <c r="G42" i="1" l="1"/>
  <c r="L14" i="11"/>
  <c r="G41" i="1"/>
  <c r="F45" i="1" s="1"/>
  <c r="AH6" i="1" s="1"/>
  <c r="I21" i="11"/>
  <c r="K9" i="11" s="1"/>
  <c r="G125" i="12"/>
  <c r="G125" i="13"/>
  <c r="AH5" i="1" l="1"/>
  <c r="AH7" i="1"/>
  <c r="AH9" i="1" l="1" a="1"/>
  <c r="AH9" i="1" s="1"/>
  <c r="I16" i="11" l="1"/>
  <c r="K3" i="11" s="1"/>
  <c r="K11" i="11" s="1" a="1"/>
  <c r="K11" i="11" s="1"/>
  <c r="L13" i="11" s="1"/>
  <c r="AH10" i="1"/>
  <c r="L3" i="11" l="1"/>
  <c r="I23" i="11" s="1" a="1"/>
  <c r="I23" i="1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<sst xmlns="http://schemas.openxmlformats.org/spreadsheetml/2006/main" count="1086" uniqueCount="530">
  <si>
    <t>Total</t>
  </si>
  <si>
    <t>remarks</t>
  </si>
  <si>
    <t>Conclusion:</t>
  </si>
  <si>
    <t xml:space="preserve">EURAL Code </t>
  </si>
  <si>
    <t>≥1% per component</t>
  </si>
  <si>
    <t>≥25%</t>
  </si>
  <si>
    <t>≥5%</t>
  </si>
  <si>
    <t>≥20%</t>
  </si>
  <si>
    <t>% w/w**</t>
  </si>
  <si>
    <t>Verbinding</t>
  </si>
  <si>
    <t>% m/m</t>
  </si>
  <si>
    <t>H332, H302</t>
  </si>
  <si>
    <t>Toxic for reproduction 
(HP10)</t>
  </si>
  <si>
    <t>STOT and 'aspiration' 
(HP5)</t>
  </si>
  <si>
    <t>Irritant 
(HP4)</t>
  </si>
  <si>
    <t>Carcinogenic
(HP7)</t>
  </si>
  <si>
    <t>Corrosive
(HP8)</t>
  </si>
  <si>
    <t>Mutagenic 
(HP11)</t>
  </si>
  <si>
    <t>H314</t>
  </si>
  <si>
    <t>H335</t>
  </si>
  <si>
    <t>H372</t>
  </si>
  <si>
    <t>H373</t>
  </si>
  <si>
    <t>H350</t>
  </si>
  <si>
    <t>H351</t>
  </si>
  <si>
    <t>H360</t>
  </si>
  <si>
    <t>H340</t>
  </si>
  <si>
    <t>≥0,3% per component</t>
  </si>
  <si>
    <t>≥0,1% per component</t>
  </si>
  <si>
    <t>≥10% per component</t>
  </si>
  <si>
    <t>≥20% per component</t>
  </si>
  <si>
    <t>Sum &gt;cut-off value or maximum</t>
  </si>
  <si>
    <t>H301</t>
  </si>
  <si>
    <t>H302</t>
  </si>
  <si>
    <t>H330</t>
  </si>
  <si>
    <t>H332</t>
  </si>
  <si>
    <t>≥22,5%</t>
  </si>
  <si>
    <t>H331</t>
  </si>
  <si>
    <t>≥3,5%</t>
  </si>
  <si>
    <t>mg/kg dw</t>
  </si>
  <si>
    <t>Metal</t>
  </si>
  <si>
    <t>Result</t>
  </si>
  <si>
    <t>Acute Toxic                               
(HP6)</t>
  </si>
  <si>
    <t>Sensi-tizing 
(HP13)</t>
  </si>
  <si>
    <t>H317 or H334</t>
  </si>
  <si>
    <t>Remarks / Adjusted criteria CLP</t>
  </si>
  <si>
    <t>Criteria Eural</t>
  </si>
  <si>
    <t>≥0,5%</t>
  </si>
  <si>
    <t>≥0,25%</t>
  </si>
  <si>
    <t>H-sentence attributed</t>
  </si>
  <si>
    <t>Ecotoxic (HP14)</t>
  </si>
  <si>
    <t>H400</t>
  </si>
  <si>
    <t>H410+H411+H412</t>
  </si>
  <si>
    <t>H360df, H332, H302, H373**, H400, H410</t>
  </si>
  <si>
    <t>H318</t>
  </si>
  <si>
    <t>≥10%</t>
  </si>
  <si>
    <t>H312</t>
  </si>
  <si>
    <t>≥55%</t>
  </si>
  <si>
    <t>H</t>
  </si>
  <si>
    <t>He</t>
  </si>
  <si>
    <t>Li</t>
  </si>
  <si>
    <t>Be</t>
  </si>
  <si>
    <t>B</t>
  </si>
  <si>
    <t>C</t>
  </si>
  <si>
    <t>N</t>
  </si>
  <si>
    <t>O</t>
  </si>
  <si>
    <t>F</t>
  </si>
  <si>
    <t>Ne</t>
  </si>
  <si>
    <t>Na</t>
  </si>
  <si>
    <t>Mg</t>
  </si>
  <si>
    <t>Al</t>
  </si>
  <si>
    <t>Si</t>
  </si>
  <si>
    <t>P</t>
  </si>
  <si>
    <t>S</t>
  </si>
  <si>
    <t>Cl</t>
  </si>
  <si>
    <t>Ar</t>
  </si>
  <si>
    <t>K</t>
  </si>
  <si>
    <t>Ca</t>
  </si>
  <si>
    <t>Sc</t>
  </si>
  <si>
    <t>Ti</t>
  </si>
  <si>
    <t>V</t>
  </si>
  <si>
    <t>Cr</t>
  </si>
  <si>
    <t>Mn</t>
  </si>
  <si>
    <t>Fe</t>
  </si>
  <si>
    <t>Co</t>
  </si>
  <si>
    <t>Ni</t>
  </si>
  <si>
    <t xml:space="preserve">Cu </t>
  </si>
  <si>
    <t>Zn</t>
  </si>
  <si>
    <t xml:space="preserve">Ga </t>
  </si>
  <si>
    <t>Ge</t>
  </si>
  <si>
    <t>As</t>
  </si>
  <si>
    <t>Se</t>
  </si>
  <si>
    <t xml:space="preserve">Br </t>
  </si>
  <si>
    <t>Kr</t>
  </si>
  <si>
    <t>Rb</t>
  </si>
  <si>
    <t>Sr</t>
  </si>
  <si>
    <t>Y</t>
  </si>
  <si>
    <t>Zr</t>
  </si>
  <si>
    <t>Nb</t>
  </si>
  <si>
    <t>Mo</t>
  </si>
  <si>
    <t>Tc</t>
  </si>
  <si>
    <t>Ru</t>
  </si>
  <si>
    <t>Rh</t>
  </si>
  <si>
    <t>Pb</t>
  </si>
  <si>
    <t>Ag</t>
  </si>
  <si>
    <t>Cd</t>
  </si>
  <si>
    <t>In</t>
  </si>
  <si>
    <t>Sn</t>
  </si>
  <si>
    <t>Sb</t>
  </si>
  <si>
    <t>Te</t>
  </si>
  <si>
    <t>I</t>
  </si>
  <si>
    <t>Xe</t>
  </si>
  <si>
    <t xml:space="preserve">Cs </t>
  </si>
  <si>
    <t>Ba</t>
  </si>
  <si>
    <t>Lu</t>
  </si>
  <si>
    <t>Hf</t>
  </si>
  <si>
    <t>Ta</t>
  </si>
  <si>
    <t>W</t>
  </si>
  <si>
    <t>Re</t>
  </si>
  <si>
    <t>Os</t>
  </si>
  <si>
    <t>Ir</t>
  </si>
  <si>
    <t>Pt</t>
  </si>
  <si>
    <t>Au</t>
  </si>
  <si>
    <t>Hg</t>
  </si>
  <si>
    <t>Tl</t>
  </si>
  <si>
    <t>Bi</t>
  </si>
  <si>
    <t>Po</t>
  </si>
  <si>
    <t>At</t>
  </si>
  <si>
    <t>Rn</t>
  </si>
  <si>
    <t>Fr</t>
  </si>
  <si>
    <t xml:space="preserve">Ra </t>
  </si>
  <si>
    <t>Lr</t>
  </si>
  <si>
    <t>Rf</t>
  </si>
  <si>
    <t>Db</t>
  </si>
  <si>
    <t>Sg</t>
  </si>
  <si>
    <t>Bh</t>
  </si>
  <si>
    <t>Hs</t>
  </si>
  <si>
    <t>Mt</t>
  </si>
  <si>
    <t xml:space="preserve">Ds </t>
  </si>
  <si>
    <t>Rg</t>
  </si>
  <si>
    <t>Cn</t>
  </si>
  <si>
    <t>Barium (Ba)</t>
  </si>
  <si>
    <t>als chloraat</t>
  </si>
  <si>
    <t>als carbonaat</t>
  </si>
  <si>
    <t>als sulfide</t>
  </si>
  <si>
    <t>als polysulfide</t>
  </si>
  <si>
    <t>als perchlorate</t>
  </si>
  <si>
    <t>als peroxide</t>
  </si>
  <si>
    <t>als zouten</t>
  </si>
  <si>
    <t>als chloride</t>
  </si>
  <si>
    <t>Barium chloraat</t>
  </si>
  <si>
    <t>Barium carbonaat</t>
  </si>
  <si>
    <t>Barium sulfide</t>
  </si>
  <si>
    <t>Barium polysulfide</t>
  </si>
  <si>
    <t>Barium perchlorate</t>
  </si>
  <si>
    <t>Barium peroxide</t>
  </si>
  <si>
    <t>Barium zout</t>
  </si>
  <si>
    <t>Barium chloride</t>
  </si>
  <si>
    <t>H271, H332, H302, H411</t>
  </si>
  <si>
    <t>H332, H302, H400</t>
  </si>
  <si>
    <t>H319, H335, H315, H400</t>
  </si>
  <si>
    <t>H271, H332, H302</t>
  </si>
  <si>
    <t>H272, H332, H302</t>
  </si>
  <si>
    <t>H332, H301</t>
  </si>
  <si>
    <t>H315+ H319</t>
  </si>
  <si>
    <t>Zink (Zn)</t>
  </si>
  <si>
    <t>Zineb</t>
  </si>
  <si>
    <t>zinc bis(dibutyldithiocarbamate)</t>
  </si>
  <si>
    <t>H335, H317</t>
  </si>
  <si>
    <t>Zink in zineb</t>
  </si>
  <si>
    <t>Zinc bis(dibutyldithiocarbamate)</t>
  </si>
  <si>
    <t>Zinc bis(diethyldithiocarbamate)</t>
  </si>
  <si>
    <t>H302, H319, H335, H315, H317, H400, H410</t>
  </si>
  <si>
    <t>H319, H335, H315, H317, H400, H410</t>
  </si>
  <si>
    <t>H260, H300, H400, H410</t>
  </si>
  <si>
    <t>zinc phosphide</t>
  </si>
  <si>
    <t>zinc chromates including zinc potassium chromate</t>
  </si>
  <si>
    <t>H350, H302, H317, H400, H410</t>
  </si>
  <si>
    <t>zinc chloride</t>
  </si>
  <si>
    <t>H302, H314, H400, H410</t>
  </si>
  <si>
    <t>H250, H260, H314, H400, H410</t>
  </si>
  <si>
    <t>diethylzinc</t>
  </si>
  <si>
    <t>diamminediisocyanatozinc</t>
  </si>
  <si>
    <t>H302, H318, H334, H317, H400</t>
  </si>
  <si>
    <t>zinc sulphate</t>
  </si>
  <si>
    <t>H302, H318, H400, H410</t>
  </si>
  <si>
    <t>bis(3,5-di-tert-butylsalicylato-O1,O2)zinc</t>
  </si>
  <si>
    <t>H228, H302, H400 H410</t>
  </si>
  <si>
    <t>trizinc bis(orthophosphate)</t>
  </si>
  <si>
    <t>H400, H410</t>
  </si>
  <si>
    <t>zinc oxide</t>
  </si>
  <si>
    <t>ziram</t>
  </si>
  <si>
    <t>H330, H302, H373, H335, H318, H317, H410</t>
  </si>
  <si>
    <t>M=100</t>
  </si>
  <si>
    <t>STOT SE 3;
H335: C ≥ 5 %</t>
  </si>
  <si>
    <t>Lood (Pb)</t>
  </si>
  <si>
    <t>lead hexafluorosilicate</t>
  </si>
  <si>
    <t>H360Df, H332, H302, H373, H400, H410</t>
  </si>
  <si>
    <t>lead diazide;</t>
  </si>
  <si>
    <t>H200, H360Df, H332, H302,  H373, H400, H410</t>
  </si>
  <si>
    <t>lead chromate</t>
  </si>
  <si>
    <t>H351, H360Df, H373, H400, H410</t>
  </si>
  <si>
    <t>kg/m3</t>
  </si>
  <si>
    <t>porositeit</t>
  </si>
  <si>
    <t>mg/kg ds</t>
  </si>
  <si>
    <t>mg/kg</t>
  </si>
  <si>
    <t>gewicht%</t>
  </si>
  <si>
    <t>mg/mg</t>
  </si>
  <si>
    <t>water</t>
  </si>
  <si>
    <t>m3/m3</t>
  </si>
  <si>
    <t>zand</t>
  </si>
  <si>
    <t>sediment</t>
  </si>
  <si>
    <t xml:space="preserve">water </t>
  </si>
  <si>
    <t>Correctiefactor</t>
  </si>
  <si>
    <t>lead di(acetate</t>
  </si>
  <si>
    <t>H360df, H373**, H400, H410</t>
  </si>
  <si>
    <t>trilead bis(orthophosphate</t>
  </si>
  <si>
    <t>lead acetate, basic</t>
  </si>
  <si>
    <t>lead(II) methanesulphonate</t>
  </si>
  <si>
    <t>Lead chromate molybdate sulfate red;</t>
  </si>
  <si>
    <t>lead hydrogen arsenate</t>
  </si>
  <si>
    <t>H350, H360df, H331, H373**, H400, H410</t>
  </si>
  <si>
    <t>lead 2,4,6-trinitro-m-phenylene dioxide</t>
  </si>
  <si>
    <t>H200, H201, H360df, H332, H302, H373**, H400, H410</t>
  </si>
  <si>
    <t>Chroom (Cr)</t>
  </si>
  <si>
    <t>chromium (VI) trioxide</t>
  </si>
  <si>
    <t>H271, H350, H340, H361f***, H330, H311, H301, H372**, H314, H334, H317, H400, H410</t>
  </si>
  <si>
    <t>STOT SE 3;
H335: C ≥ 1 %</t>
  </si>
  <si>
    <t>potassium dichromate</t>
  </si>
  <si>
    <t>H272, H350, H340, H360FD, H330, H301, H372**, H312, H314, H334, H317, H400, H410</t>
  </si>
  <si>
    <t>ammonium dichromate</t>
  </si>
  <si>
    <t>sodium dichromate anhydrate</t>
  </si>
  <si>
    <t>sodium dichromate, dihydrate</t>
  </si>
  <si>
    <t>chromyl dichloride;</t>
  </si>
  <si>
    <t>H271, H350i, H340, H314, H317, H400, H410</t>
  </si>
  <si>
    <t>potassium chromate</t>
  </si>
  <si>
    <t>H350i, H340, H319, H335, H315, H317, H400, H410</t>
  </si>
  <si>
    <t>Skin Sens. 1; 
H317: C ≥ 0,5 %</t>
  </si>
  <si>
    <t>calcium chromate</t>
  </si>
  <si>
    <t>H350, H302, H400, H410</t>
  </si>
  <si>
    <t>strontium chromate</t>
  </si>
  <si>
    <t>dichromium tris(chromate)</t>
  </si>
  <si>
    <t>H271, H350, H314, H317, H400, H410</t>
  </si>
  <si>
    <t>trisodium bis(2-(5-chloro-4-nitro-2-oxido_x0002_phenylazo)-5-sulphonato-1-naphtholato) chromate(1-)</t>
  </si>
  <si>
    <t>H318, H412</t>
  </si>
  <si>
    <t>H373**, H413</t>
  </si>
  <si>
    <t>sodium chromate</t>
  </si>
  <si>
    <t>H350, H340, H360FD, H330, H301, H372**, H312, H314, H334, H317, H400, H410</t>
  </si>
  <si>
    <t>H311</t>
  </si>
  <si>
    <t>≥15%</t>
  </si>
  <si>
    <t>Correctiefactor Ds naar gewichts%</t>
  </si>
  <si>
    <t xml:space="preserve">mg/kg </t>
  </si>
  <si>
    <t>Resp. Sens.; H334: C ≥ 0,2 % 
Skin Sens.; H317: C ≥ 0,2 %</t>
  </si>
  <si>
    <t>Tetradecylammonium bis(1-(5-chloro-2-oxi- dophenylazo)-2-naphtholato)chromate(1-)</t>
  </si>
  <si>
    <t>Lead chromate molybdate sulfate red</t>
  </si>
  <si>
    <t>Ziram</t>
  </si>
  <si>
    <t>Trizinc diphosphide; zinc phosphide</t>
  </si>
  <si>
    <t>Zinc chromate</t>
  </si>
  <si>
    <t>Zinc chloride</t>
  </si>
  <si>
    <t>Diethylzinc</t>
  </si>
  <si>
    <t>Diamminediisocyanatozinc</t>
  </si>
  <si>
    <t>Zinc sulphate</t>
  </si>
  <si>
    <t>Bis(3,5-di-tert-butylsalicylato-O1,O2)zinc</t>
  </si>
  <si>
    <t>Trizinc bis(orthophosphate)</t>
  </si>
  <si>
    <t>Zinc oxide</t>
  </si>
  <si>
    <t>Lead hexafluorosilicate</t>
  </si>
  <si>
    <t>Lead diazide</t>
  </si>
  <si>
    <t>Lead chromate</t>
  </si>
  <si>
    <t>Lead di(acetate</t>
  </si>
  <si>
    <t>Lead acetate, basic</t>
  </si>
  <si>
    <t>Lead(II) methanesulphonate</t>
  </si>
  <si>
    <t>Lead hydrogen arsenate</t>
  </si>
  <si>
    <t>Lead 2,4,6-trinitro-m-phenylene dioxide</t>
  </si>
  <si>
    <t>Chromium (VI) trioxide</t>
  </si>
  <si>
    <t>Potassium dichromate</t>
  </si>
  <si>
    <t>Ammonium dichromate</t>
  </si>
  <si>
    <t>Sodium dichromate anhydrate</t>
  </si>
  <si>
    <t>Sodium dichromate, dihydrate</t>
  </si>
  <si>
    <t>Chromyl dichloride;</t>
  </si>
  <si>
    <t>Potassium chromate</t>
  </si>
  <si>
    <t>Zinc chromates including zinc potassium chromate</t>
  </si>
  <si>
    <t>Calcium chromate</t>
  </si>
  <si>
    <t>Strontium chromate</t>
  </si>
  <si>
    <t>Dichromium tris(chromate)</t>
  </si>
  <si>
    <t>Trisodium bis(2-(5-chloro-4-nitro-2-oxido_x0002_phenylazo)-5-sulphonato-1-naphtholato) chromate(1-)</t>
  </si>
  <si>
    <t>Sodium chromate</t>
  </si>
  <si>
    <t>Stoffen met barium:</t>
  </si>
  <si>
    <t>Stoffen met zink:</t>
  </si>
  <si>
    <t>Stoffen met lood:</t>
  </si>
  <si>
    <t>Stoffen met chroom:</t>
  </si>
  <si>
    <t>ds</t>
  </si>
  <si>
    <t>Trilead bis(orthophosphate)</t>
  </si>
  <si>
    <t>Soortelijk gewicht baggerspecie</t>
  </si>
  <si>
    <t>Gewichtspercentage water</t>
  </si>
  <si>
    <t>Stoffen POP verordening</t>
  </si>
  <si>
    <t>Gehalte</t>
  </si>
  <si>
    <t>Eenheid</t>
  </si>
  <si>
    <t>Norm (mg/kg ds)</t>
  </si>
  <si>
    <t>Endosulfan</t>
  </si>
  <si>
    <t>Hexachloorbutadieen</t>
  </si>
  <si>
    <t>Polychloornaftaleen</t>
  </si>
  <si>
    <t>Alkanen, C10-C13 chloor</t>
  </si>
  <si>
    <t>Tetrabroomdifenyl-ether C12H6Br4O</t>
  </si>
  <si>
    <t>Pentabroomdifenyl-ether C12H5Br5O</t>
  </si>
  <si>
    <t>Hexabroomdifenyl-ether C12H4Br6O</t>
  </si>
  <si>
    <t>Heptabroomdifenyl-ether C12H3Br7O</t>
  </si>
  <si>
    <t>som broomdifenyl-ethers</t>
  </si>
  <si>
    <t>Decabroomdifenyl-ether C12Br10O</t>
  </si>
  <si>
    <t>PFOS</t>
  </si>
  <si>
    <t>PCDD's/PCDF's</t>
  </si>
  <si>
    <t>DDT</t>
  </si>
  <si>
    <t>Dieldrin</t>
  </si>
  <si>
    <t>Endrin</t>
  </si>
  <si>
    <t>Heptachloor</t>
  </si>
  <si>
    <t>Hexachloorbenzeen</t>
  </si>
  <si>
    <t>Chloordecon</t>
  </si>
  <si>
    <t>Aldrin</t>
  </si>
  <si>
    <t>Pentachloorbenzeen</t>
  </si>
  <si>
    <t>Mirex</t>
  </si>
  <si>
    <t>Toxafeen</t>
  </si>
  <si>
    <t>Hexabroombifenyl</t>
  </si>
  <si>
    <t>Hexabroomcyclododecaan</t>
  </si>
  <si>
    <t>Pentachloorfenol en de zouten en esters daarvan</t>
  </si>
  <si>
    <t>Dicofol</t>
  </si>
  <si>
    <t>PFOA</t>
  </si>
  <si>
    <t>PFHxS</t>
  </si>
  <si>
    <t>Type afval:</t>
  </si>
  <si>
    <t>Minerale olie</t>
  </si>
  <si>
    <t>Benzo(a)pyreen</t>
  </si>
  <si>
    <t>Toetscriterium</t>
  </si>
  <si>
    <t>PAK10</t>
  </si>
  <si>
    <t>Naftaleen</t>
  </si>
  <si>
    <t>Antraceen</t>
  </si>
  <si>
    <t>Fenantreen</t>
  </si>
  <si>
    <t>Fluoranteen</t>
  </si>
  <si>
    <t>Benz(a)anthraceen</t>
  </si>
  <si>
    <t>Chryseen</t>
  </si>
  <si>
    <t>Benzo(k)fluorantheen</t>
  </si>
  <si>
    <t>Benzo(ghi)peryleen</t>
  </si>
  <si>
    <t>Indeen(1,2,3-cd)pyreen</t>
  </si>
  <si>
    <t>H351, H302, H400, H410</t>
  </si>
  <si>
    <t>H319, H410, H315, H400</t>
  </si>
  <si>
    <t>H302, H400, H410, H317</t>
  </si>
  <si>
    <t>H410</t>
  </si>
  <si>
    <t>H317, H340, H350, H360, H410</t>
  </si>
  <si>
    <t>H350, H410</t>
  </si>
  <si>
    <t>H302, H410</t>
  </si>
  <si>
    <t>Metalen</t>
  </si>
  <si>
    <t>Cadmium (Cd)</t>
  </si>
  <si>
    <t>Kobalt (Co)</t>
  </si>
  <si>
    <t>Koper (Cu)</t>
  </si>
  <si>
    <t>Kwik (Hg)</t>
  </si>
  <si>
    <t>Molybdeen (Mo)</t>
  </si>
  <si>
    <t>Nikkel (Ni)</t>
  </si>
  <si>
    <t>Gecorrigeerde gehalte</t>
  </si>
  <si>
    <t>Eerste toets 1000 mg/kg</t>
  </si>
  <si>
    <t>Asbest</t>
  </si>
  <si>
    <t>Default 1.200 kg/m3</t>
  </si>
  <si>
    <t>Default 60 %</t>
  </si>
  <si>
    <t>Tributyltin</t>
  </si>
  <si>
    <t>H360FD, H301, H312, H372**, H315, H319, H400, H410</t>
  </si>
  <si>
    <t>Zinksulfide (geen gevaarseigenschappen)</t>
  </si>
  <si>
    <t>-</t>
  </si>
  <si>
    <t>Perfluorbutaanzuur (PFBA)</t>
  </si>
  <si>
    <t>Perfluorpentaanzuur (PFPeA)</t>
  </si>
  <si>
    <t>Perfluorhexaanzuur (PFHxA )</t>
  </si>
  <si>
    <t>Perfluorheptaanzuur (PFHpA)</t>
  </si>
  <si>
    <t>Perfluornonaanzuur (PFNA)</t>
  </si>
  <si>
    <t>Perfluordecaanzuur (PFDA)</t>
  </si>
  <si>
    <t>Perfluorundecaanzuur (PFUnDA)</t>
  </si>
  <si>
    <t>Perfluordodecaanzuur (PFDoDA)</t>
  </si>
  <si>
    <t>Perfluortridecaanzuur (PFTrDA)</t>
  </si>
  <si>
    <t>Perfluortetradecaanzuur (PFTeDA)</t>
  </si>
  <si>
    <t>Perfluorhexaansulfonzuur (PFHxDA)</t>
  </si>
  <si>
    <t>Perfluoroctadecaanzuur (PFODA)</t>
  </si>
  <si>
    <t>Perfluorbutaansulfonzuur (PFBS)</t>
  </si>
  <si>
    <t>Perfluorpentaansulfonzuur (PFPeS)</t>
  </si>
  <si>
    <t>Perfluorhextaansulfonzuur (PFHxS)</t>
  </si>
  <si>
    <t>Perfluorheptaansulfonzuur (PFHpS)</t>
  </si>
  <si>
    <t>Perfluordecaansulfonzuur (PFDS)</t>
  </si>
  <si>
    <t>4:2 fluortelomeer sulfonzuur (4:2FTS)</t>
  </si>
  <si>
    <t>1H,1H,2H,2H-Perfluoroctaansulfonzuur (6:2FTS)</t>
  </si>
  <si>
    <t>8:2 fluortelomeer sulfonzuur (8:2FTS)</t>
  </si>
  <si>
    <t>1H,1H,2H,2H-Perfluordodecaansulfonzuur (10:2FTS)</t>
  </si>
  <si>
    <t>Perfluoroctaansulfonamide (PFOSA)</t>
  </si>
  <si>
    <t>N-Methulperfluoroctaansulfonamide (N-MeFOSA)</t>
  </si>
  <si>
    <t>N-Methulperfluoroctaansulfonamide-azijnzuur (N-MeFOSAA)</t>
  </si>
  <si>
    <t>N-Ethulperfluoroctaansulfonamide-azijnzuur (N-EtFOSAA)</t>
  </si>
  <si>
    <t>8:2 Polyfluoralkylfosfaat diester (8:2diPAP)</t>
  </si>
  <si>
    <t>Perfluoroctaanzuur (PFOA)</t>
  </si>
  <si>
    <t>Perfluoroctaanzuur lineair (PFOA)</t>
  </si>
  <si>
    <t>Perfluoroctaanzuur vertakt (PFOA)</t>
  </si>
  <si>
    <t>Som Perfluoroctaanzuur (PFOA) (factor 0,7)</t>
  </si>
  <si>
    <t>Perfluoroctaansulfonzuur (PFOS)</t>
  </si>
  <si>
    <t>Perfluoroctaansulfonzuur lineair (PFOS)</t>
  </si>
  <si>
    <t>Perfluoroctaansulfonzuur vertakt (PFOS)</t>
  </si>
  <si>
    <t>Som Perfluoroctaansulfonzuur (PFOS) 0,7F</t>
  </si>
  <si>
    <t>GenX - 2,3,3,3-Tetrafluor-2-(Heptafluorpropoxy)Pro</t>
  </si>
  <si>
    <t>H341, H350, H400, H410</t>
  </si>
  <si>
    <t>Resultaat toetsing minerale olie en Benzo(a)pyreen (indien nodig)</t>
  </si>
  <si>
    <t>Resultaat toetsing aan norm POP verordening</t>
  </si>
  <si>
    <t>µg/kg ds</t>
  </si>
  <si>
    <t xml:space="preserve">Substance*
</t>
  </si>
  <si>
    <r>
      <t xml:space="preserve">Verhoudingsfactor speciatie
</t>
    </r>
    <r>
      <rPr>
        <sz val="9"/>
        <rFont val="Arial"/>
        <family val="2"/>
      </rPr>
      <t>Het totaal van de verhoudingsfactor moet 1 zijn</t>
    </r>
  </si>
  <si>
    <t>Arseen (As)</t>
  </si>
  <si>
    <t>Stoffen met arseen:</t>
  </si>
  <si>
    <t>Diarseentrioxide</t>
  </si>
  <si>
    <t>als diarseentrioxide</t>
  </si>
  <si>
    <t>H413, incl toetsing H410, H411 en H412</t>
  </si>
  <si>
    <t>H341</t>
  </si>
  <si>
    <t>Isodrin</t>
  </si>
  <si>
    <t>H300, H310, H410</t>
  </si>
  <si>
    <t>H300 of H310</t>
  </si>
  <si>
    <t>Isobenzan of telodrin</t>
  </si>
  <si>
    <t>H300, H310</t>
  </si>
  <si>
    <t>H300, H410</t>
  </si>
  <si>
    <t>Endosulfan sulfate (geen gevaarseigenschappen)</t>
  </si>
  <si>
    <t>Heptachloorepoxide</t>
  </si>
  <si>
    <t>Diversen</t>
  </si>
  <si>
    <t>Chloordaan (chloordaan (som) kan hiervoor worden ingevuld)</t>
  </si>
  <si>
    <t>HCH (alle hexachloorcyclohexanen, inclusief lindaan)</t>
  </si>
  <si>
    <t>DDD of dichlorodiphenyldichloroethane</t>
  </si>
  <si>
    <t xml:space="preserve">DDE of 2,2-bis(p-chlorophenyl)-1,1-dichloroethylene </t>
  </si>
  <si>
    <t>Resultaat nadere beoordeling (maakt gebruik van onderstaande tabel)</t>
  </si>
  <si>
    <t>PFAS verbindingen (ter registratie; wordt niet getoetst)</t>
  </si>
  <si>
    <t>alfa-endosulfan</t>
  </si>
  <si>
    <t>Lutum</t>
  </si>
  <si>
    <t>Organisch stof</t>
  </si>
  <si>
    <t>Percentage</t>
  </si>
  <si>
    <t>gestandaardiseerd gehalte</t>
  </si>
  <si>
    <t>A</t>
  </si>
  <si>
    <t>lutum</t>
  </si>
  <si>
    <t>humus</t>
  </si>
  <si>
    <t>DDT/DDE/DDD(som)</t>
  </si>
  <si>
    <t>Drins (som)</t>
  </si>
  <si>
    <t>PAK (10 som)</t>
  </si>
  <si>
    <t>Overige anorganische stoffen</t>
  </si>
  <si>
    <t>cyanide (vrij)</t>
  </si>
  <si>
    <t>cyanide (complex)</t>
  </si>
  <si>
    <t>Thiocyanaten</t>
  </si>
  <si>
    <t>PCB28</t>
  </si>
  <si>
    <t>PCB52</t>
  </si>
  <si>
    <t>PCB101</t>
  </si>
  <si>
    <t>PCB118</t>
  </si>
  <si>
    <t>PCB138</t>
  </si>
  <si>
    <t>PCB153</t>
  </si>
  <si>
    <t>PCB180</t>
  </si>
  <si>
    <t>PCBs (som 7)</t>
  </si>
  <si>
    <t>Gechloreerde koolwaterstoffen</t>
  </si>
  <si>
    <t>Chloorbenzenen (som)</t>
  </si>
  <si>
    <t>chloorfenolen (som)</t>
  </si>
  <si>
    <t>alfa-HCH</t>
  </si>
  <si>
    <t>beta-HCH</t>
  </si>
  <si>
    <t>gamma-HCH</t>
  </si>
  <si>
    <t>delta-HCH</t>
  </si>
  <si>
    <t>rapportagegrens</t>
  </si>
  <si>
    <t>Enodsulfansulfaat</t>
  </si>
  <si>
    <t>Organotin bestrijdingsmiddelen</t>
  </si>
  <si>
    <t>organotinverbindingen</t>
  </si>
  <si>
    <t xml:space="preserve">PFAS verbindingen </t>
  </si>
  <si>
    <t>Benzo(a)anthraceen</t>
  </si>
  <si>
    <t>KWALITEITSEISEN VOOR KWALITEITSKLASSEN</t>
  </si>
  <si>
    <t>niet verontreinigd</t>
  </si>
  <si>
    <t>licht verontreinigd</t>
  </si>
  <si>
    <t>matig verontreinigd</t>
  </si>
  <si>
    <t>sterk verontreinigd</t>
  </si>
  <si>
    <t>OCB (som)</t>
  </si>
  <si>
    <t>parameteroordeel</t>
  </si>
  <si>
    <t>parameters</t>
  </si>
  <si>
    <t>&gt;37</t>
  </si>
  <si>
    <t>aantal waarden</t>
  </si>
  <si>
    <t>Max oordeel</t>
  </si>
  <si>
    <t>2x algemeen toepasbaar</t>
  </si>
  <si>
    <t>Waarde Wonen</t>
  </si>
  <si>
    <t>"Wonen"- regel</t>
  </si>
  <si>
    <t>zonder uitzonderingsregel</t>
  </si>
  <si>
    <t>met uitzonderingsregel</t>
  </si>
  <si>
    <t>uitzonderingen</t>
  </si>
  <si>
    <t>EINDOORDEEL</t>
  </si>
  <si>
    <t>EINDOORDEEL ASBEST</t>
  </si>
  <si>
    <t>verspreidbaar</t>
  </si>
  <si>
    <t>niet verspreidbaar</t>
  </si>
  <si>
    <t>Eindoordeel</t>
  </si>
  <si>
    <t xml:space="preserve"> </t>
  </si>
  <si>
    <t>Parameteroordeel</t>
  </si>
  <si>
    <t>Toetswaarde</t>
  </si>
  <si>
    <t>toepasbaar</t>
  </si>
  <si>
    <t>niet toepasbaar</t>
  </si>
  <si>
    <t>uitkomst toetsing</t>
  </si>
  <si>
    <t>PFAS</t>
  </si>
  <si>
    <t>T2 toetsing</t>
  </si>
  <si>
    <t>Samenvatting resultaten toetsing</t>
  </si>
  <si>
    <t>EURAL</t>
  </si>
  <si>
    <t>Kwaliteitsklasse</t>
  </si>
  <si>
    <t>Diepe plas</t>
  </si>
  <si>
    <t>Nadere beoordeling</t>
  </si>
  <si>
    <t>Gevaarlijk afval</t>
  </si>
  <si>
    <t>"1,5"- regel KRW</t>
  </si>
  <si>
    <t>Storten in Rijksbaggerdepot</t>
  </si>
  <si>
    <t>Perfluorhexaandecaanzuur (PFHxDA)</t>
  </si>
  <si>
    <t>6:2 fluortelomeer sulfonzuur (6:2FTS)</t>
  </si>
  <si>
    <t>10:2 fluortelomeer sulfonzuur (10:2FTS)</t>
  </si>
  <si>
    <t>N-methyl-perfluoroctaansulfonamide acetaat (N-MeFOSAA)</t>
  </si>
  <si>
    <t>N-methyl-perfluoroctaansulfonamide (N-MeFOSA)</t>
  </si>
  <si>
    <t>N-ethyl-perfluoroctaansulfonamide acetaat (N-EtFOSAA)</t>
  </si>
  <si>
    <t>8:2 fluortelomeer fosfaat diester (8:2diPAP)</t>
  </si>
  <si>
    <t>Som Perfluoroctaansulfonzuur (PFOS) (factor 0,7)</t>
  </si>
  <si>
    <t>Rapportage-grens (&lt;)</t>
  </si>
  <si>
    <t>Opmerkingen</t>
  </si>
  <si>
    <t>Legenda invoermogelijkheden</t>
  </si>
  <si>
    <t>Indien sprake is van '&lt; rapportagegrens' dan '&lt;' invoeren</t>
  </si>
  <si>
    <t>Vul het gehalte van de component in vanaf het analysecertificaat van het laboratorium (let op de eenheid)</t>
  </si>
  <si>
    <t>Omschrijving partij</t>
  </si>
  <si>
    <t>Revisie-versie Baggertoetsformulier</t>
  </si>
  <si>
    <t>Revisie-datum Baggertoetsformulier</t>
  </si>
  <si>
    <t>17.05.06</t>
  </si>
  <si>
    <t>Verspreiden in zoet oppervlaktewater</t>
  </si>
  <si>
    <t>Verspreiden in zout oppervlaktewater</t>
  </si>
  <si>
    <t>Rapportagegrens</t>
  </si>
  <si>
    <t>Rapportage kenmerk:</t>
  </si>
  <si>
    <t xml:space="preserve">Rapportage datum: </t>
  </si>
  <si>
    <t>Datum baggertoetsformulier:</t>
  </si>
  <si>
    <t>Komt minerale olie voor als koolteer (ja/nee invullen)</t>
  </si>
  <si>
    <t>H340, H350, H400 en H410</t>
  </si>
  <si>
    <t>Indien ja, toetsing aan H-zinnen</t>
  </si>
  <si>
    <t>Indien nee, toetsing aan individuele PAK-componenten</t>
  </si>
  <si>
    <t>geen koolteer, Nadere beoordeling obv PAK-componenten</t>
  </si>
  <si>
    <t>Nadere beoordeling geen PAK</t>
  </si>
  <si>
    <t>Perfluorhexaansulfonzuur (PFHxS)</t>
  </si>
  <si>
    <t xml:space="preserve">Bestrijdingsmiddelen </t>
  </si>
  <si>
    <t>1.4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</si>
</sst>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\&gt;0.00"/>
    <numFmt numFmtId="165" formatCode="0.0000"/>
    <numFmt numFmtId="166" formatCode="0.0E+00"/>
    <numFmt numFmtId="167" formatCode="0.0"/>
    <numFmt numFmtId="168" formatCode="0.000"/>
  </numFmts>
  <fonts count="14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9"/>
      <name val="Arial"/>
      <family val="2"/>
    </font>
    <font>
      <sz val="10"/>
      <color theme="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b/>
      <sz val="10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485"/>
        <bgColor indexed="64"/>
      </patternFill>
    </fill>
  </fills>
  <borders count="6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22"/>
      </bottom>
      <diagonal/>
    </border>
    <border>
      <left/>
      <right style="thin">
        <color indexed="64"/>
      </right>
      <top style="medium">
        <color indexed="64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/>
      <right style="thin">
        <color indexed="64"/>
      </right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22"/>
      </top>
      <bottom/>
      <diagonal/>
    </border>
    <border>
      <left style="thin">
        <color indexed="64"/>
      </left>
      <right style="medium">
        <color indexed="64"/>
      </right>
      <top style="thin">
        <color indexed="22"/>
      </top>
      <bottom/>
      <diagonal/>
    </border>
    <border>
      <left style="medium">
        <color indexed="64"/>
      </left>
      <right style="thin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22"/>
      </bottom>
      <diagonal/>
    </border>
    <border>
      <left/>
      <right style="thin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2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thin">
        <color indexed="64"/>
      </left>
      <right style="medium">
        <color indexed="64"/>
      </right>
      <top/>
      <bottom style="thin">
        <color indexed="22"/>
      </bottom>
      <diagonal/>
    </border>
    <border>
      <left style="thin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66">
    <xf numFmtId="0" fontId="0" fillId="0" borderId="0" xfId="0"/>
    <xf numFmtId="0" fontId="0" fillId="2" borderId="0" xfId="0" applyFill="1"/>
    <xf numFmtId="0" fontId="4" fillId="2" borderId="4" xfId="0" applyFont="1" applyFill="1" applyBorder="1"/>
    <xf numFmtId="0" fontId="4" fillId="2" borderId="1" xfId="0" applyFont="1" applyFill="1" applyBorder="1"/>
    <xf numFmtId="0" fontId="5" fillId="2" borderId="1" xfId="0" applyFont="1" applyFill="1" applyBorder="1"/>
    <xf numFmtId="0" fontId="5" fillId="2" borderId="2" xfId="0" applyFont="1" applyFill="1" applyBorder="1"/>
    <xf numFmtId="0" fontId="5" fillId="2" borderId="0" xfId="0" applyFont="1" applyFill="1"/>
    <xf numFmtId="0" fontId="4" fillId="2" borderId="5" xfId="0" applyFont="1" applyFill="1" applyBorder="1"/>
    <xf numFmtId="0" fontId="5" fillId="0" borderId="0" xfId="0" applyFont="1"/>
    <xf numFmtId="0" fontId="5" fillId="2" borderId="3" xfId="0" applyFont="1" applyFill="1" applyBorder="1"/>
    <xf numFmtId="0" fontId="1" fillId="2" borderId="0" xfId="0" quotePrefix="1" applyFont="1" applyFill="1"/>
    <xf numFmtId="0" fontId="1" fillId="2" borderId="0" xfId="0" applyFont="1" applyFill="1"/>
    <xf numFmtId="0" fontId="10" fillId="2" borderId="0" xfId="0" applyFont="1" applyFill="1"/>
    <xf numFmtId="0" fontId="0" fillId="4" borderId="3" xfId="0" applyFill="1" applyBorder="1" applyAlignment="1">
      <alignment wrapText="1"/>
    </xf>
    <xf numFmtId="0" fontId="0" fillId="0" borderId="3" xfId="0" applyBorder="1" applyAlignment="1">
      <alignment wrapText="1"/>
    </xf>
    <xf numFmtId="0" fontId="3" fillId="2" borderId="0" xfId="0" applyFont="1" applyFill="1"/>
    <xf numFmtId="0" fontId="0" fillId="2" borderId="3" xfId="0" applyFill="1" applyBorder="1" applyAlignment="1">
      <alignment wrapText="1"/>
    </xf>
    <xf numFmtId="0" fontId="0" fillId="2" borderId="0" xfId="0" applyFill="1" applyAlignment="1">
      <alignment wrapText="1"/>
    </xf>
    <xf numFmtId="0" fontId="0" fillId="2" borderId="3" xfId="0" applyFill="1" applyBorder="1"/>
    <xf numFmtId="0" fontId="1" fillId="2" borderId="0" xfId="0" applyFont="1" applyFill="1" applyAlignment="1">
      <alignment vertical="top"/>
    </xf>
    <xf numFmtId="0" fontId="0" fillId="2" borderId="0" xfId="0" applyFill="1" applyAlignment="1">
      <alignment vertical="top"/>
    </xf>
    <xf numFmtId="0" fontId="3" fillId="0" borderId="0" xfId="0" applyFont="1" applyAlignment="1">
      <alignment horizontal="left"/>
    </xf>
    <xf numFmtId="0" fontId="4" fillId="0" borderId="0" xfId="0" applyFont="1"/>
    <xf numFmtId="0" fontId="0" fillId="2" borderId="0" xfId="0" applyFill="1" applyAlignment="1">
      <alignment horizontal="center"/>
    </xf>
    <xf numFmtId="2" fontId="0" fillId="2" borderId="0" xfId="0" applyNumberFormat="1" applyFill="1" applyAlignment="1">
      <alignment horizontal="center"/>
    </xf>
    <xf numFmtId="0" fontId="3" fillId="0" borderId="0" xfId="0" applyFont="1"/>
    <xf numFmtId="0" fontId="0" fillId="2" borderId="0" xfId="0" applyFill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left" vertical="center"/>
    </xf>
    <xf numFmtId="0" fontId="0" fillId="2" borderId="0" xfId="0" applyFill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4" fillId="3" borderId="18" xfId="0" applyFont="1" applyFill="1" applyBorder="1"/>
    <xf numFmtId="0" fontId="4" fillId="3" borderId="43" xfId="0" applyFont="1" applyFill="1" applyBorder="1"/>
    <xf numFmtId="0" fontId="5" fillId="3" borderId="11" xfId="0" applyFont="1" applyFill="1" applyBorder="1"/>
    <xf numFmtId="0" fontId="6" fillId="3" borderId="11" xfId="0" applyFont="1" applyFill="1" applyBorder="1"/>
    <xf numFmtId="49" fontId="5" fillId="3" borderId="11" xfId="0" applyNumberFormat="1" applyFont="1" applyFill="1" applyBorder="1" applyAlignment="1">
      <alignment horizontal="right"/>
    </xf>
    <xf numFmtId="0" fontId="6" fillId="3" borderId="12" xfId="0" applyFont="1" applyFill="1" applyBorder="1"/>
    <xf numFmtId="0" fontId="4" fillId="3" borderId="35" xfId="0" applyFont="1" applyFill="1" applyBorder="1"/>
    <xf numFmtId="0" fontId="5" fillId="3" borderId="7" xfId="0" applyFont="1" applyFill="1" applyBorder="1"/>
    <xf numFmtId="0" fontId="6" fillId="3" borderId="7" xfId="0" applyFont="1" applyFill="1" applyBorder="1"/>
    <xf numFmtId="49" fontId="5" fillId="3" borderId="7" xfId="0" applyNumberFormat="1" applyFont="1" applyFill="1" applyBorder="1" applyAlignment="1">
      <alignment horizontal="right"/>
    </xf>
    <xf numFmtId="0" fontId="0" fillId="3" borderId="5" xfId="0" applyFill="1" applyBorder="1"/>
    <xf numFmtId="0" fontId="0" fillId="3" borderId="0" xfId="0" applyFill="1"/>
    <xf numFmtId="0" fontId="4" fillId="3" borderId="37" xfId="0" applyFont="1" applyFill="1" applyBorder="1" applyAlignment="1">
      <alignment horizontal="center" wrapText="1"/>
    </xf>
    <xf numFmtId="0" fontId="4" fillId="3" borderId="7" xfId="0" applyFont="1" applyFill="1" applyBorder="1" applyAlignment="1">
      <alignment horizontal="center" wrapText="1"/>
    </xf>
    <xf numFmtId="0" fontId="4" fillId="3" borderId="7" xfId="0" applyFont="1" applyFill="1" applyBorder="1" applyAlignment="1">
      <alignment horizontal="center"/>
    </xf>
    <xf numFmtId="49" fontId="4" fillId="3" borderId="6" xfId="0" applyNumberFormat="1" applyFont="1" applyFill="1" applyBorder="1" applyAlignment="1">
      <alignment horizontal="center" wrapText="1"/>
    </xf>
    <xf numFmtId="0" fontId="9" fillId="2" borderId="36" xfId="0" applyFont="1" applyFill="1" applyBorder="1" applyAlignment="1">
      <alignment horizontal="left"/>
    </xf>
    <xf numFmtId="166" fontId="5" fillId="2" borderId="29" xfId="0" applyNumberFormat="1" applyFont="1" applyFill="1" applyBorder="1" applyAlignment="1">
      <alignment horizontal="center"/>
    </xf>
    <xf numFmtId="0" fontId="5" fillId="2" borderId="20" xfId="0" applyFont="1" applyFill="1" applyBorder="1" applyAlignment="1">
      <alignment horizontal="center"/>
    </xf>
    <xf numFmtId="49" fontId="5" fillId="2" borderId="20" xfId="0" applyNumberFormat="1" applyFont="1" applyFill="1" applyBorder="1" applyAlignment="1">
      <alignment horizontal="center"/>
    </xf>
    <xf numFmtId="0" fontId="6" fillId="0" borderId="12" xfId="0" applyFont="1" applyBorder="1"/>
    <xf numFmtId="11" fontId="5" fillId="4" borderId="29" xfId="0" applyNumberFormat="1" applyFont="1" applyFill="1" applyBorder="1" applyAlignment="1">
      <alignment horizontal="center"/>
    </xf>
    <xf numFmtId="11" fontId="5" fillId="4" borderId="20" xfId="0" applyNumberFormat="1" applyFont="1" applyFill="1" applyBorder="1" applyAlignment="1">
      <alignment horizontal="center"/>
    </xf>
    <xf numFmtId="11" fontId="5" fillId="4" borderId="21" xfId="0" applyNumberFormat="1" applyFont="1" applyFill="1" applyBorder="1" applyAlignment="1">
      <alignment horizontal="center"/>
    </xf>
    <xf numFmtId="11" fontId="5" fillId="4" borderId="23" xfId="0" applyNumberFormat="1" applyFont="1" applyFill="1" applyBorder="1" applyAlignment="1">
      <alignment horizontal="center"/>
    </xf>
    <xf numFmtId="11" fontId="5" fillId="4" borderId="36" xfId="0" applyNumberFormat="1" applyFont="1" applyFill="1" applyBorder="1" applyAlignment="1">
      <alignment horizontal="center"/>
    </xf>
    <xf numFmtId="11" fontId="5" fillId="4" borderId="38" xfId="0" applyNumberFormat="1" applyFont="1" applyFill="1" applyBorder="1" applyAlignment="1">
      <alignment horizontal="center"/>
    </xf>
    <xf numFmtId="0" fontId="5" fillId="2" borderId="36" xfId="0" applyFont="1" applyFill="1" applyBorder="1" applyAlignment="1">
      <alignment horizontal="left"/>
    </xf>
    <xf numFmtId="0" fontId="5" fillId="2" borderId="36" xfId="0" applyFont="1" applyFill="1" applyBorder="1" applyAlignment="1">
      <alignment horizontal="center"/>
    </xf>
    <xf numFmtId="49" fontId="5" fillId="2" borderId="29" xfId="0" applyNumberFormat="1" applyFont="1" applyFill="1" applyBorder="1" applyAlignment="1">
      <alignment horizontal="center"/>
    </xf>
    <xf numFmtId="0" fontId="5" fillId="2" borderId="24" xfId="0" applyFont="1" applyFill="1" applyBorder="1" applyAlignment="1">
      <alignment horizontal="center"/>
    </xf>
    <xf numFmtId="11" fontId="5" fillId="0" borderId="29" xfId="0" applyNumberFormat="1" applyFont="1" applyBorder="1" applyAlignment="1">
      <alignment horizontal="center"/>
    </xf>
    <xf numFmtId="11" fontId="5" fillId="0" borderId="36" xfId="0" applyNumberFormat="1" applyFont="1" applyBorder="1" applyAlignment="1">
      <alignment horizontal="center"/>
    </xf>
    <xf numFmtId="11" fontId="5" fillId="4" borderId="39" xfId="0" applyNumberFormat="1" applyFont="1" applyFill="1" applyBorder="1" applyAlignment="1">
      <alignment horizontal="center"/>
    </xf>
    <xf numFmtId="0" fontId="5" fillId="0" borderId="36" xfId="0" applyFont="1" applyBorder="1" applyAlignment="1">
      <alignment horizontal="left"/>
    </xf>
    <xf numFmtId="49" fontId="5" fillId="2" borderId="26" xfId="0" applyNumberFormat="1" applyFont="1" applyFill="1" applyBorder="1" applyAlignment="1">
      <alignment horizontal="center" wrapText="1"/>
    </xf>
    <xf numFmtId="0" fontId="5" fillId="2" borderId="24" xfId="0" applyFont="1" applyFill="1" applyBorder="1" applyAlignment="1">
      <alignment horizontal="center" wrapText="1"/>
    </xf>
    <xf numFmtId="49" fontId="5" fillId="2" borderId="29" xfId="0" quotePrefix="1" applyNumberFormat="1" applyFont="1" applyFill="1" applyBorder="1" applyAlignment="1">
      <alignment horizontal="center"/>
    </xf>
    <xf numFmtId="0" fontId="9" fillId="0" borderId="36" xfId="0" applyFont="1" applyBorder="1" applyAlignment="1">
      <alignment horizontal="left"/>
    </xf>
    <xf numFmtId="0" fontId="5" fillId="2" borderId="23" xfId="0" applyFont="1" applyFill="1" applyBorder="1" applyAlignment="1">
      <alignment horizontal="center"/>
    </xf>
    <xf numFmtId="11" fontId="5" fillId="4" borderId="22" xfId="0" applyNumberFormat="1" applyFont="1" applyFill="1" applyBorder="1" applyAlignment="1">
      <alignment horizontal="center"/>
    </xf>
    <xf numFmtId="11" fontId="5" fillId="0" borderId="23" xfId="0" applyNumberFormat="1" applyFont="1" applyBorder="1" applyAlignment="1">
      <alignment horizontal="center"/>
    </xf>
    <xf numFmtId="11" fontId="5" fillId="0" borderId="22" xfId="0" applyNumberFormat="1" applyFont="1" applyBorder="1" applyAlignment="1">
      <alignment horizontal="center"/>
    </xf>
    <xf numFmtId="0" fontId="5" fillId="4" borderId="24" xfId="0" applyFont="1" applyFill="1" applyBorder="1" applyAlignment="1">
      <alignment horizontal="center" wrapText="1"/>
    </xf>
    <xf numFmtId="11" fontId="5" fillId="0" borderId="22" xfId="0" applyNumberFormat="1" applyFont="1" applyBorder="1" applyAlignment="1">
      <alignment horizontal="left"/>
    </xf>
    <xf numFmtId="0" fontId="5" fillId="4" borderId="24" xfId="0" applyFont="1" applyFill="1" applyBorder="1" applyAlignment="1">
      <alignment horizontal="center"/>
    </xf>
    <xf numFmtId="0" fontId="5" fillId="0" borderId="24" xfId="0" applyFont="1" applyBorder="1" applyAlignment="1">
      <alignment horizontal="center" vertical="top" wrapText="1"/>
    </xf>
    <xf numFmtId="0" fontId="5" fillId="0" borderId="24" xfId="0" applyFont="1" applyBorder="1" applyAlignment="1">
      <alignment horizontal="center"/>
    </xf>
    <xf numFmtId="164" fontId="5" fillId="2" borderId="23" xfId="0" applyNumberFormat="1" applyFont="1" applyFill="1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5" fillId="0" borderId="24" xfId="0" applyFont="1" applyBorder="1" applyAlignment="1">
      <alignment horizontal="center" wrapText="1"/>
    </xf>
    <xf numFmtId="11" fontId="5" fillId="4" borderId="26" xfId="0" applyNumberFormat="1" applyFont="1" applyFill="1" applyBorder="1" applyAlignment="1">
      <alignment horizontal="center"/>
    </xf>
    <xf numFmtId="11" fontId="5" fillId="4" borderId="25" xfId="0" applyNumberFormat="1" applyFont="1" applyFill="1" applyBorder="1" applyAlignment="1">
      <alignment horizontal="center"/>
    </xf>
    <xf numFmtId="11" fontId="5" fillId="0" borderId="25" xfId="0" applyNumberFormat="1" applyFont="1" applyBorder="1" applyAlignment="1">
      <alignment horizontal="center"/>
    </xf>
    <xf numFmtId="11" fontId="5" fillId="0" borderId="26" xfId="0" applyNumberFormat="1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5" fillId="4" borderId="25" xfId="0" applyFont="1" applyFill="1" applyBorder="1" applyAlignment="1">
      <alignment horizontal="center"/>
    </xf>
    <xf numFmtId="0" fontId="5" fillId="4" borderId="27" xfId="0" applyFont="1" applyFill="1" applyBorder="1" applyAlignment="1">
      <alignment horizontal="center"/>
    </xf>
    <xf numFmtId="11" fontId="5" fillId="0" borderId="26" xfId="0" applyNumberFormat="1" applyFont="1" applyBorder="1" applyAlignment="1">
      <alignment horizontal="left"/>
    </xf>
    <xf numFmtId="49" fontId="5" fillId="2" borderId="26" xfId="0" applyNumberFormat="1" applyFont="1" applyFill="1" applyBorder="1" applyAlignment="1">
      <alignment horizontal="center"/>
    </xf>
    <xf numFmtId="0" fontId="5" fillId="0" borderId="36" xfId="0" applyFont="1" applyBorder="1" applyAlignment="1">
      <alignment horizontal="left" wrapText="1"/>
    </xf>
    <xf numFmtId="49" fontId="5" fillId="0" borderId="22" xfId="0" applyNumberFormat="1" applyFont="1" applyBorder="1" applyAlignment="1">
      <alignment horizontal="center"/>
    </xf>
    <xf numFmtId="11" fontId="5" fillId="4" borderId="27" xfId="0" applyNumberFormat="1" applyFont="1" applyFill="1" applyBorder="1" applyAlignment="1">
      <alignment horizontal="center"/>
    </xf>
    <xf numFmtId="11" fontId="0" fillId="2" borderId="0" xfId="0" applyNumberFormat="1" applyFill="1"/>
    <xf numFmtId="0" fontId="5" fillId="2" borderId="28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5" fillId="2" borderId="27" xfId="0" applyFont="1" applyFill="1" applyBorder="1" applyAlignment="1">
      <alignment horizontal="center"/>
    </xf>
    <xf numFmtId="11" fontId="5" fillId="0" borderId="31" xfId="0" applyNumberFormat="1" applyFont="1" applyBorder="1" applyAlignment="1">
      <alignment horizontal="left"/>
    </xf>
    <xf numFmtId="11" fontId="5" fillId="4" borderId="31" xfId="0" applyNumberFormat="1" applyFont="1" applyFill="1" applyBorder="1" applyAlignment="1">
      <alignment horizontal="center"/>
    </xf>
    <xf numFmtId="11" fontId="5" fillId="4" borderId="30" xfId="0" applyNumberFormat="1" applyFont="1" applyFill="1" applyBorder="1" applyAlignment="1">
      <alignment horizontal="center"/>
    </xf>
    <xf numFmtId="11" fontId="5" fillId="4" borderId="40" xfId="0" applyNumberFormat="1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165" fontId="4" fillId="2" borderId="32" xfId="0" applyNumberFormat="1" applyFont="1" applyFill="1" applyBorder="1" applyAlignment="1">
      <alignment horizontal="center"/>
    </xf>
    <xf numFmtId="0" fontId="5" fillId="2" borderId="32" xfId="0" applyFont="1" applyFill="1" applyBorder="1" applyAlignment="1">
      <alignment horizontal="center"/>
    </xf>
    <xf numFmtId="0" fontId="5" fillId="2" borderId="33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 wrapText="1"/>
    </xf>
    <xf numFmtId="165" fontId="5" fillId="2" borderId="13" xfId="0" applyNumberFormat="1" applyFont="1" applyFill="1" applyBorder="1" applyAlignment="1">
      <alignment horizontal="center"/>
    </xf>
    <xf numFmtId="165" fontId="5" fillId="2" borderId="15" xfId="0" applyNumberFormat="1" applyFont="1" applyFill="1" applyBorder="1" applyAlignment="1">
      <alignment horizontal="center"/>
    </xf>
    <xf numFmtId="165" fontId="5" fillId="2" borderId="16" xfId="0" applyNumberFormat="1" applyFont="1" applyFill="1" applyBorder="1" applyAlignment="1">
      <alignment horizontal="center"/>
    </xf>
    <xf numFmtId="2" fontId="5" fillId="2" borderId="13" xfId="0" applyNumberFormat="1" applyFont="1" applyFill="1" applyBorder="1" applyAlignment="1">
      <alignment horizontal="center"/>
    </xf>
    <xf numFmtId="0" fontId="4" fillId="2" borderId="13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wrapText="1"/>
    </xf>
    <xf numFmtId="0" fontId="8" fillId="2" borderId="7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8" fillId="2" borderId="14" xfId="0" applyFont="1" applyFill="1" applyBorder="1" applyAlignment="1">
      <alignment horizontal="center" wrapText="1"/>
    </xf>
    <xf numFmtId="0" fontId="0" fillId="3" borderId="8" xfId="0" applyFill="1" applyBorder="1"/>
    <xf numFmtId="0" fontId="5" fillId="3" borderId="9" xfId="0" applyFont="1" applyFill="1" applyBorder="1"/>
    <xf numFmtId="0" fontId="4" fillId="2" borderId="6" xfId="0" applyFont="1" applyFill="1" applyBorder="1" applyAlignment="1">
      <alignment horizontal="center"/>
    </xf>
    <xf numFmtId="0" fontId="8" fillId="2" borderId="16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0" fillId="3" borderId="1" xfId="0" applyFill="1" applyBorder="1"/>
    <xf numFmtId="0" fontId="0" fillId="3" borderId="2" xfId="0" applyFill="1" applyBorder="1"/>
    <xf numFmtId="0" fontId="7" fillId="3" borderId="5" xfId="0" applyFont="1" applyFill="1" applyBorder="1" applyAlignment="1">
      <alignment wrapText="1"/>
    </xf>
    <xf numFmtId="0" fontId="7" fillId="3" borderId="0" xfId="0" applyFont="1" applyFill="1" applyAlignment="1">
      <alignment wrapText="1"/>
    </xf>
    <xf numFmtId="0" fontId="0" fillId="3" borderId="3" xfId="0" applyFill="1" applyBorder="1"/>
    <xf numFmtId="0" fontId="8" fillId="3" borderId="8" xfId="0" applyFont="1" applyFill="1" applyBorder="1"/>
    <xf numFmtId="0" fontId="8" fillId="3" borderId="9" xfId="0" applyFont="1" applyFill="1" applyBorder="1"/>
    <xf numFmtId="0" fontId="0" fillId="3" borderId="9" xfId="0" applyFill="1" applyBorder="1"/>
    <xf numFmtId="0" fontId="0" fillId="3" borderId="10" xfId="0" applyFill="1" applyBorder="1"/>
    <xf numFmtId="0" fontId="0" fillId="2" borderId="0" xfId="0" applyFill="1" applyAlignment="1">
      <alignment horizontal="right"/>
    </xf>
    <xf numFmtId="167" fontId="0" fillId="0" borderId="0" xfId="0" applyNumberFormat="1"/>
    <xf numFmtId="0" fontId="5" fillId="0" borderId="19" xfId="0" applyFont="1" applyBorder="1"/>
    <xf numFmtId="166" fontId="0" fillId="2" borderId="0" xfId="0" applyNumberFormat="1" applyFill="1"/>
    <xf numFmtId="0" fontId="1" fillId="0" borderId="0" xfId="0" applyFont="1"/>
    <xf numFmtId="0" fontId="5" fillId="0" borderId="34" xfId="0" applyFont="1" applyBorder="1"/>
    <xf numFmtId="0" fontId="4" fillId="3" borderId="17" xfId="0" applyFont="1" applyFill="1" applyBorder="1" applyAlignment="1">
      <alignment horizontal="center" wrapText="1"/>
    </xf>
    <xf numFmtId="0" fontId="9" fillId="2" borderId="36" xfId="0" applyFont="1" applyFill="1" applyBorder="1" applyAlignment="1">
      <alignment horizontal="left" wrapText="1"/>
    </xf>
    <xf numFmtId="0" fontId="4" fillId="2" borderId="14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/>
    </xf>
    <xf numFmtId="0" fontId="0" fillId="4" borderId="0" xfId="0" applyFill="1" applyAlignment="1">
      <alignment wrapText="1"/>
    </xf>
    <xf numFmtId="0" fontId="0" fillId="0" borderId="0" xfId="0" applyAlignment="1">
      <alignment wrapText="1"/>
    </xf>
    <xf numFmtId="0" fontId="2" fillId="2" borderId="0" xfId="0" applyFont="1" applyFill="1" applyAlignment="1">
      <alignment horizontal="center"/>
    </xf>
    <xf numFmtId="0" fontId="4" fillId="2" borderId="0" xfId="0" applyFont="1" applyFill="1"/>
    <xf numFmtId="166" fontId="1" fillId="2" borderId="0" xfId="0" applyNumberFormat="1" applyFont="1" applyFill="1"/>
    <xf numFmtId="1" fontId="1" fillId="2" borderId="0" xfId="0" applyNumberFormat="1" applyFont="1" applyFill="1"/>
    <xf numFmtId="168" fontId="1" fillId="2" borderId="0" xfId="0" applyNumberFormat="1" applyFont="1" applyFill="1"/>
    <xf numFmtId="166" fontId="1" fillId="4" borderId="0" xfId="0" applyNumberFormat="1" applyFont="1" applyFill="1"/>
    <xf numFmtId="0" fontId="1" fillId="4" borderId="0" xfId="0" applyFont="1" applyFill="1"/>
    <xf numFmtId="2" fontId="1" fillId="2" borderId="0" xfId="0" applyNumberFormat="1" applyFont="1" applyFill="1"/>
    <xf numFmtId="0" fontId="0" fillId="5" borderId="0" xfId="0" applyFill="1"/>
    <xf numFmtId="0" fontId="4" fillId="3" borderId="14" xfId="0" applyFont="1" applyFill="1" applyBorder="1"/>
    <xf numFmtId="0" fontId="4" fillId="3" borderId="46" xfId="0" applyFont="1" applyFill="1" applyBorder="1" applyAlignment="1">
      <alignment horizontal="center" wrapText="1"/>
    </xf>
    <xf numFmtId="0" fontId="5" fillId="2" borderId="14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14" fontId="0" fillId="0" borderId="0" xfId="0" applyNumberFormat="1"/>
    <xf numFmtId="0" fontId="1" fillId="0" borderId="0" xfId="0" applyFont="1" applyAlignment="1">
      <alignment horizontal="left"/>
    </xf>
    <xf numFmtId="1" fontId="0" fillId="5" borderId="0" xfId="0" applyNumberFormat="1" applyFill="1"/>
    <xf numFmtId="167" fontId="0" fillId="5" borderId="0" xfId="0" applyNumberFormat="1" applyFill="1"/>
    <xf numFmtId="168" fontId="0" fillId="5" borderId="0" xfId="0" applyNumberFormat="1" applyFill="1"/>
    <xf numFmtId="2" fontId="0" fillId="5" borderId="0" xfId="0" applyNumberFormat="1" applyFill="1"/>
    <xf numFmtId="0" fontId="0" fillId="0" borderId="0" xfId="0" applyAlignment="1">
      <alignment horizontal="right"/>
    </xf>
    <xf numFmtId="0" fontId="3" fillId="0" borderId="4" xfId="0" applyFont="1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right"/>
    </xf>
    <xf numFmtId="0" fontId="3" fillId="0" borderId="1" xfId="0" applyFont="1" applyBorder="1" applyAlignment="1">
      <alignment horizontal="right"/>
    </xf>
    <xf numFmtId="0" fontId="3" fillId="0" borderId="2" xfId="0" applyFont="1" applyBorder="1" applyAlignment="1">
      <alignment horizontal="right"/>
    </xf>
    <xf numFmtId="0" fontId="1" fillId="0" borderId="0" xfId="0" applyFont="1" applyAlignment="1">
      <alignment horizontal="right"/>
    </xf>
    <xf numFmtId="0" fontId="0" fillId="0" borderId="3" xfId="0" applyBorder="1" applyAlignment="1">
      <alignment horizontal="right"/>
    </xf>
    <xf numFmtId="1" fontId="0" fillId="0" borderId="0" xfId="0" applyNumberFormat="1" applyAlignment="1">
      <alignment horizontal="right"/>
    </xf>
    <xf numFmtId="0" fontId="3" fillId="0" borderId="5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right" wrapText="1"/>
    </xf>
    <xf numFmtId="0" fontId="3" fillId="0" borderId="3" xfId="0" applyFont="1" applyBorder="1" applyAlignment="1">
      <alignment horizontal="right"/>
    </xf>
    <xf numFmtId="167" fontId="0" fillId="0" borderId="0" xfId="0" applyNumberFormat="1" applyAlignment="1">
      <alignment horizontal="right"/>
    </xf>
    <xf numFmtId="0" fontId="3" fillId="0" borderId="8" xfId="0" applyFont="1" applyBorder="1" applyAlignment="1">
      <alignment horizontal="right"/>
    </xf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right"/>
    </xf>
    <xf numFmtId="2" fontId="0" fillId="0" borderId="0" xfId="0" applyNumberFormat="1" applyAlignment="1">
      <alignment horizontal="right"/>
    </xf>
    <xf numFmtId="1" fontId="1" fillId="0" borderId="3" xfId="0" applyNumberFormat="1" applyFont="1" applyBorder="1" applyAlignment="1">
      <alignment horizontal="right"/>
    </xf>
    <xf numFmtId="168" fontId="0" fillId="0" borderId="0" xfId="0" applyNumberFormat="1" applyAlignment="1">
      <alignment horizontal="right"/>
    </xf>
    <xf numFmtId="0" fontId="1" fillId="0" borderId="3" xfId="0" applyFont="1" applyBorder="1" applyAlignment="1">
      <alignment horizontal="right"/>
    </xf>
    <xf numFmtId="0" fontId="3" fillId="0" borderId="10" xfId="0" applyFont="1" applyBorder="1" applyAlignment="1">
      <alignment horizontal="right"/>
    </xf>
    <xf numFmtId="0" fontId="3" fillId="0" borderId="9" xfId="0" applyFont="1" applyBorder="1" applyAlignment="1">
      <alignment horizontal="right"/>
    </xf>
    <xf numFmtId="0" fontId="0" fillId="0" borderId="0" xfId="0" applyAlignment="1">
      <alignment horizontal="left"/>
    </xf>
    <xf numFmtId="0" fontId="0" fillId="0" borderId="4" xfId="0" applyBorder="1" applyAlignment="1">
      <alignment horizontal="left"/>
    </xf>
    <xf numFmtId="0" fontId="3" fillId="0" borderId="5" xfId="0" applyFont="1" applyBorder="1" applyAlignment="1">
      <alignment horizontal="left"/>
    </xf>
    <xf numFmtId="0" fontId="0" fillId="0" borderId="5" xfId="0" applyBorder="1" applyAlignment="1">
      <alignment horizontal="left"/>
    </xf>
    <xf numFmtId="0" fontId="3" fillId="0" borderId="8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167" fontId="1" fillId="0" borderId="0" xfId="0" applyNumberFormat="1" applyFont="1" applyAlignment="1">
      <alignment horizontal="right"/>
    </xf>
    <xf numFmtId="0" fontId="1" fillId="0" borderId="9" xfId="0" applyFont="1" applyBorder="1" applyAlignment="1">
      <alignment horizontal="right"/>
    </xf>
    <xf numFmtId="0" fontId="3" fillId="0" borderId="1" xfId="0" applyFont="1" applyBorder="1"/>
    <xf numFmtId="0" fontId="0" fillId="0" borderId="9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3" xfId="0" applyBorder="1" applyAlignment="1">
      <alignment horizontal="right" wrapText="1"/>
    </xf>
    <xf numFmtId="0" fontId="5" fillId="6" borderId="9" xfId="0" applyFont="1" applyFill="1" applyBorder="1" applyProtection="1">
      <protection locked="0"/>
    </xf>
    <xf numFmtId="0" fontId="5" fillId="6" borderId="51" xfId="0" applyFont="1" applyFill="1" applyBorder="1" applyProtection="1">
      <protection locked="0"/>
    </xf>
    <xf numFmtId="0" fontId="5" fillId="6" borderId="57" xfId="0" applyFont="1" applyFill="1" applyBorder="1" applyProtection="1">
      <protection locked="0"/>
    </xf>
    <xf numFmtId="0" fontId="5" fillId="6" borderId="60" xfId="0" applyFont="1" applyFill="1" applyBorder="1" applyProtection="1">
      <protection locked="0"/>
    </xf>
    <xf numFmtId="0" fontId="5" fillId="5" borderId="0" xfId="0" applyFont="1" applyFill="1" applyProtection="1">
      <protection locked="0"/>
    </xf>
    <xf numFmtId="0" fontId="5" fillId="6" borderId="0" xfId="0" applyFont="1" applyFill="1" applyProtection="1">
      <protection locked="0"/>
    </xf>
    <xf numFmtId="0" fontId="5" fillId="7" borderId="60" xfId="0" applyFont="1" applyFill="1" applyBorder="1" applyAlignment="1" applyProtection="1">
      <alignment horizontal="right"/>
      <protection locked="0"/>
    </xf>
    <xf numFmtId="0" fontId="5" fillId="8" borderId="50" xfId="0" applyFont="1" applyFill="1" applyBorder="1" applyProtection="1">
      <protection locked="0"/>
    </xf>
    <xf numFmtId="0" fontId="5" fillId="8" borderId="53" xfId="0" applyFont="1" applyFill="1" applyBorder="1" applyProtection="1">
      <protection locked="0"/>
    </xf>
    <xf numFmtId="0" fontId="5" fillId="8" borderId="56" xfId="0" applyFont="1" applyFill="1" applyBorder="1" applyProtection="1">
      <protection locked="0"/>
    </xf>
    <xf numFmtId="0" fontId="5" fillId="8" borderId="59" xfId="0" applyFont="1" applyFill="1" applyBorder="1" applyProtection="1">
      <protection locked="0"/>
    </xf>
    <xf numFmtId="0" fontId="5" fillId="8" borderId="46" xfId="0" applyFont="1" applyFill="1" applyBorder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14" fontId="5" fillId="0" borderId="0" xfId="0" applyNumberFormat="1" applyFont="1" applyAlignment="1" applyProtection="1">
      <alignment horizontal="left"/>
      <protection locked="0"/>
    </xf>
    <xf numFmtId="0" fontId="0" fillId="0" borderId="0" xfId="0" applyProtection="1">
      <protection locked="0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right" wrapText="1"/>
    </xf>
    <xf numFmtId="0" fontId="13" fillId="0" borderId="0" xfId="0" applyFont="1" applyAlignment="1">
      <alignment horizontal="right" wrapText="1"/>
    </xf>
    <xf numFmtId="0" fontId="3" fillId="0" borderId="0" xfId="0" applyFont="1" applyAlignment="1">
      <alignment vertical="top"/>
    </xf>
    <xf numFmtId="0" fontId="3" fillId="2" borderId="0" xfId="0" applyFont="1" applyFill="1" applyAlignment="1">
      <alignment vertical="top"/>
    </xf>
    <xf numFmtId="0" fontId="5" fillId="2" borderId="3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5" fillId="2" borderId="55" xfId="0" applyFont="1" applyFill="1" applyBorder="1" applyAlignment="1">
      <alignment vertical="center" wrapText="1"/>
    </xf>
    <xf numFmtId="0" fontId="5" fillId="2" borderId="57" xfId="0" applyFont="1" applyFill="1" applyBorder="1" applyAlignment="1">
      <alignment vertical="center" wrapText="1"/>
    </xf>
    <xf numFmtId="0" fontId="5" fillId="2" borderId="58" xfId="0" applyFont="1" applyFill="1" applyBorder="1" applyAlignment="1">
      <alignment vertical="center" wrapText="1"/>
    </xf>
    <xf numFmtId="0" fontId="5" fillId="2" borderId="60" xfId="0" applyFont="1" applyFill="1" applyBorder="1" applyAlignment="1">
      <alignment vertical="center" wrapText="1"/>
    </xf>
    <xf numFmtId="0" fontId="5" fillId="2" borderId="58" xfId="0" applyFont="1" applyFill="1" applyBorder="1"/>
    <xf numFmtId="0" fontId="5" fillId="2" borderId="60" xfId="0" applyFont="1" applyFill="1" applyBorder="1"/>
    <xf numFmtId="0" fontId="5" fillId="2" borderId="8" xfId="0" applyFont="1" applyFill="1" applyBorder="1"/>
    <xf numFmtId="0" fontId="5" fillId="2" borderId="9" xfId="0" applyFont="1" applyFill="1" applyBorder="1"/>
    <xf numFmtId="0" fontId="5" fillId="2" borderId="5" xfId="0" applyFont="1" applyFill="1" applyBorder="1"/>
    <xf numFmtId="0" fontId="5" fillId="2" borderId="0" xfId="0" applyFont="1" applyFill="1" applyAlignment="1">
      <alignment horizontal="right"/>
    </xf>
    <xf numFmtId="0" fontId="4" fillId="0" borderId="5" xfId="0" applyFont="1" applyBorder="1"/>
    <xf numFmtId="0" fontId="5" fillId="0" borderId="0" xfId="0" applyFont="1" applyAlignment="1">
      <alignment horizontal="right"/>
    </xf>
    <xf numFmtId="0" fontId="5" fillId="0" borderId="55" xfId="0" applyFont="1" applyBorder="1"/>
    <xf numFmtId="0" fontId="5" fillId="0" borderId="57" xfId="0" applyFont="1" applyBorder="1"/>
    <xf numFmtId="0" fontId="5" fillId="2" borderId="55" xfId="0" applyFont="1" applyFill="1" applyBorder="1"/>
    <xf numFmtId="0" fontId="5" fillId="2" borderId="57" xfId="0" applyFont="1" applyFill="1" applyBorder="1"/>
    <xf numFmtId="0" fontId="5" fillId="0" borderId="58" xfId="0" applyFont="1" applyBorder="1"/>
    <xf numFmtId="0" fontId="5" fillId="0" borderId="60" xfId="0" applyFont="1" applyBorder="1"/>
    <xf numFmtId="0" fontId="5" fillId="0" borderId="5" xfId="0" applyFont="1" applyBorder="1"/>
    <xf numFmtId="0" fontId="4" fillId="0" borderId="55" xfId="0" applyFont="1" applyBorder="1"/>
    <xf numFmtId="0" fontId="4" fillId="0" borderId="57" xfId="0" applyFont="1" applyBorder="1"/>
    <xf numFmtId="0" fontId="4" fillId="0" borderId="5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2" borderId="55" xfId="0" applyFont="1" applyFill="1" applyBorder="1"/>
    <xf numFmtId="0" fontId="4" fillId="2" borderId="57" xfId="0" applyFont="1" applyFill="1" applyBorder="1"/>
    <xf numFmtId="0" fontId="5" fillId="2" borderId="47" xfId="0" applyFont="1" applyFill="1" applyBorder="1"/>
    <xf numFmtId="0" fontId="5" fillId="0" borderId="63" xfId="0" applyFont="1" applyBorder="1"/>
    <xf numFmtId="0" fontId="11" fillId="0" borderId="66" xfId="0" applyFont="1" applyBorder="1" applyAlignment="1">
      <alignment vertical="top" wrapText="1"/>
    </xf>
    <xf numFmtId="0" fontId="5" fillId="0" borderId="48" xfId="0" applyFont="1" applyBorder="1"/>
    <xf numFmtId="0" fontId="5" fillId="0" borderId="64" xfId="0" applyFont="1" applyBorder="1"/>
    <xf numFmtId="0" fontId="11" fillId="0" borderId="42" xfId="0" applyFont="1" applyBorder="1" applyAlignment="1">
      <alignment vertical="top" wrapText="1"/>
    </xf>
    <xf numFmtId="0" fontId="4" fillId="0" borderId="17" xfId="0" applyFont="1" applyBorder="1"/>
    <xf numFmtId="0" fontId="4" fillId="0" borderId="9" xfId="0" applyFont="1" applyBorder="1"/>
    <xf numFmtId="0" fontId="12" fillId="0" borderId="42" xfId="0" applyFont="1" applyBorder="1" applyAlignment="1">
      <alignment vertical="top" wrapText="1"/>
    </xf>
    <xf numFmtId="0" fontId="5" fillId="2" borderId="52" xfId="0" applyFont="1" applyFill="1" applyBorder="1"/>
    <xf numFmtId="0" fontId="5" fillId="2" borderId="54" xfId="0" applyFont="1" applyFill="1" applyBorder="1"/>
    <xf numFmtId="0" fontId="5" fillId="2" borderId="52" xfId="0" applyFont="1" applyFill="1" applyBorder="1" applyAlignment="1">
      <alignment vertical="top"/>
    </xf>
    <xf numFmtId="0" fontId="5" fillId="2" borderId="54" xfId="0" applyFont="1" applyFill="1" applyBorder="1" applyAlignment="1">
      <alignment vertical="top"/>
    </xf>
    <xf numFmtId="0" fontId="5" fillId="0" borderId="47" xfId="0" applyFont="1" applyBorder="1"/>
    <xf numFmtId="0" fontId="5" fillId="2" borderId="49" xfId="0" applyFont="1" applyFill="1" applyBorder="1"/>
    <xf numFmtId="0" fontId="5" fillId="2" borderId="51" xfId="0" applyFont="1" applyFill="1" applyBorder="1"/>
    <xf numFmtId="0" fontId="11" fillId="2" borderId="3" xfId="0" applyFont="1" applyFill="1" applyBorder="1"/>
    <xf numFmtId="0" fontId="4" fillId="0" borderId="4" xfId="0" applyFont="1" applyBorder="1"/>
    <xf numFmtId="0" fontId="5" fillId="0" borderId="1" xfId="0" applyFont="1" applyBorder="1"/>
    <xf numFmtId="0" fontId="4" fillId="0" borderId="65" xfId="0" applyFont="1" applyBorder="1"/>
    <xf numFmtId="167" fontId="5" fillId="2" borderId="0" xfId="0" applyNumberFormat="1" applyFont="1" applyFill="1"/>
    <xf numFmtId="0" fontId="4" fillId="2" borderId="58" xfId="0" applyFont="1" applyFill="1" applyBorder="1"/>
    <xf numFmtId="14" fontId="5" fillId="0" borderId="60" xfId="0" applyNumberFormat="1" applyFont="1" applyBorder="1" applyAlignment="1">
      <alignment horizontal="right"/>
    </xf>
    <xf numFmtId="0" fontId="5" fillId="8" borderId="5" xfId="0" applyFont="1" applyFill="1" applyBorder="1"/>
    <xf numFmtId="0" fontId="5" fillId="2" borderId="0" xfId="0" quotePrefix="1" applyFont="1" applyFill="1" applyAlignment="1">
      <alignment wrapText="1"/>
    </xf>
    <xf numFmtId="0" fontId="5" fillId="2" borderId="3" xfId="0" quotePrefix="1" applyFont="1" applyFill="1" applyBorder="1" applyAlignment="1">
      <alignment horizontal="left" wrapText="1"/>
    </xf>
    <xf numFmtId="0" fontId="5" fillId="0" borderId="0" xfId="0" applyFont="1" applyAlignment="1">
      <alignment horizontal="center"/>
    </xf>
    <xf numFmtId="0" fontId="5" fillId="7" borderId="5" xfId="0" applyFont="1" applyFill="1" applyBorder="1"/>
    <xf numFmtId="14" fontId="0" fillId="0" borderId="0" xfId="0" applyNumberFormat="1" applyAlignment="1">
      <alignment horizontal="left"/>
    </xf>
    <xf numFmtId="0" fontId="1" fillId="0" borderId="1" xfId="0" applyFont="1" applyBorder="1" applyAlignment="1">
      <alignment horizontal="right"/>
    </xf>
    <xf numFmtId="0" fontId="4" fillId="2" borderId="2" xfId="0" applyFont="1" applyFill="1" applyBorder="1"/>
    <xf numFmtId="0" fontId="4" fillId="2" borderId="61" xfId="0" applyFont="1" applyFill="1" applyBorder="1"/>
    <xf numFmtId="0" fontId="5" fillId="7" borderId="62" xfId="0" applyFont="1" applyFill="1" applyBorder="1" applyAlignment="1" applyProtection="1">
      <alignment horizontal="right"/>
      <protection locked="0"/>
    </xf>
    <xf numFmtId="0" fontId="0" fillId="0" borderId="0" xfId="0" applyProtection="1">
      <protection hidden="1"/>
    </xf>
    <xf numFmtId="0" fontId="1" fillId="0" borderId="0" xfId="0" applyFont="1" applyAlignment="1" applyProtection="1">
      <alignment horizontal="right"/>
      <protection hidden="1"/>
    </xf>
    <xf numFmtId="0" fontId="1" fillId="0" borderId="0" xfId="0" applyFont="1" applyProtection="1">
      <protection hidden="1"/>
    </xf>
    <xf numFmtId="1" fontId="1" fillId="0" borderId="3" xfId="0" applyNumberFormat="1" applyFont="1" applyBorder="1" applyAlignment="1" applyProtection="1">
      <alignment horizontal="right"/>
      <protection hidden="1"/>
    </xf>
    <xf numFmtId="1" fontId="0" fillId="0" borderId="0" xfId="0" applyNumberFormat="1" applyProtection="1">
      <protection hidden="1"/>
    </xf>
    <xf numFmtId="1" fontId="1" fillId="0" borderId="0" xfId="0" applyNumberFormat="1" applyFont="1" applyAlignment="1" applyProtection="1">
      <alignment horizontal="right"/>
      <protection hidden="1"/>
    </xf>
    <xf numFmtId="0" fontId="3" fillId="0" borderId="10" xfId="0" applyFont="1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3" fillId="0" borderId="32" xfId="0" applyFont="1" applyBorder="1" applyAlignment="1" applyProtection="1">
      <alignment horizontal="right"/>
      <protection hidden="1"/>
    </xf>
    <xf numFmtId="0" fontId="3" fillId="0" borderId="33" xfId="0" applyFont="1" applyBorder="1" applyAlignment="1" applyProtection="1">
      <alignment horizontal="right"/>
      <protection hidden="1"/>
    </xf>
    <xf numFmtId="0" fontId="3" fillId="0" borderId="0" xfId="0" applyFont="1" applyAlignment="1" applyProtection="1">
      <alignment horizontal="right"/>
      <protection hidden="1"/>
    </xf>
    <xf numFmtId="1" fontId="0" fillId="0" borderId="0" xfId="0" applyNumberFormat="1" applyAlignment="1" applyProtection="1">
      <alignment horizontal="right"/>
      <protection hidden="1"/>
    </xf>
    <xf numFmtId="0" fontId="3" fillId="0" borderId="1" xfId="0" applyFont="1" applyBorder="1" applyAlignment="1" applyProtection="1">
      <alignment horizontal="right"/>
      <protection hidden="1"/>
    </xf>
    <xf numFmtId="0" fontId="3" fillId="0" borderId="2" xfId="0" applyFont="1" applyBorder="1" applyAlignment="1" applyProtection="1">
      <alignment horizontal="right"/>
      <protection hidden="1"/>
    </xf>
    <xf numFmtId="0" fontId="0" fillId="0" borderId="3" xfId="0" applyBorder="1" applyAlignment="1" applyProtection="1">
      <alignment horizontal="right"/>
      <protection hidden="1"/>
    </xf>
    <xf numFmtId="0" fontId="0" fillId="0" borderId="9" xfId="0" applyBorder="1" applyAlignment="1" applyProtection="1">
      <alignment horizontal="right"/>
      <protection hidden="1"/>
    </xf>
    <xf numFmtId="0" fontId="0" fillId="0" borderId="10" xfId="0" applyBorder="1" applyAlignment="1" applyProtection="1">
      <alignment horizontal="right"/>
      <protection hidden="1"/>
    </xf>
    <xf numFmtId="0" fontId="3" fillId="0" borderId="4" xfId="0" applyFont="1" applyBorder="1" applyAlignment="1" applyProtection="1">
      <alignment horizontal="right"/>
      <protection hidden="1"/>
    </xf>
    <xf numFmtId="0" fontId="0" fillId="0" borderId="1" xfId="0" applyBorder="1" applyAlignment="1" applyProtection="1">
      <alignment horizontal="right"/>
      <protection hidden="1"/>
    </xf>
    <xf numFmtId="0" fontId="0" fillId="0" borderId="2" xfId="0" applyBorder="1" applyAlignment="1" applyProtection="1">
      <alignment horizontal="right"/>
      <protection hidden="1"/>
    </xf>
    <xf numFmtId="0" fontId="0" fillId="0" borderId="5" xfId="0" applyBorder="1" applyAlignment="1" applyProtection="1">
      <alignment horizontal="right"/>
      <protection hidden="1"/>
    </xf>
    <xf numFmtId="0" fontId="3" fillId="0" borderId="5" xfId="0" applyFont="1" applyBorder="1" applyAlignment="1" applyProtection="1">
      <alignment horizontal="right"/>
      <protection hidden="1"/>
    </xf>
    <xf numFmtId="1" fontId="0" fillId="0" borderId="3" xfId="0" applyNumberFormat="1" applyBorder="1" applyAlignment="1" applyProtection="1">
      <alignment horizontal="right"/>
      <protection hidden="1"/>
    </xf>
    <xf numFmtId="0" fontId="3" fillId="0" borderId="8" xfId="0" applyFont="1" applyBorder="1" applyAlignment="1" applyProtection="1">
      <alignment horizontal="right"/>
      <protection hidden="1"/>
    </xf>
    <xf numFmtId="0" fontId="3" fillId="0" borderId="67" xfId="0" applyFont="1" applyBorder="1" applyAlignment="1" applyProtection="1">
      <alignment horizontal="right"/>
      <protection hidden="1"/>
    </xf>
    <xf numFmtId="0" fontId="0" fillId="0" borderId="8" xfId="0" applyBorder="1" applyAlignment="1" applyProtection="1">
      <alignment horizontal="right"/>
      <protection hidden="1"/>
    </xf>
    <xf numFmtId="14" fontId="5" fillId="7" borderId="60" xfId="0" applyNumberFormat="1" applyFont="1" applyFill="1" applyBorder="1" applyAlignment="1" applyProtection="1">
      <alignment horizontal="right"/>
      <protection locked="0"/>
    </xf>
    <xf numFmtId="0" fontId="5" fillId="0" borderId="1" xfId="0" applyFont="1" applyBorder="1" applyAlignment="1">
      <alignment horizontal="left"/>
    </xf>
    <xf numFmtId="49" fontId="5" fillId="0" borderId="26" xfId="0" applyNumberFormat="1" applyFont="1" applyBorder="1" applyAlignment="1">
      <alignment horizontal="center"/>
    </xf>
    <xf numFmtId="11" fontId="5" fillId="4" borderId="7" xfId="0" applyNumberFormat="1" applyFont="1" applyFill="1" applyBorder="1" applyAlignment="1">
      <alignment horizontal="center"/>
    </xf>
    <xf numFmtId="11" fontId="5" fillId="0" borderId="7" xfId="0" applyNumberFormat="1" applyFont="1" applyBorder="1" applyAlignment="1">
      <alignment horizontal="center"/>
    </xf>
    <xf numFmtId="11" fontId="5" fillId="4" borderId="44" xfId="0" applyNumberFormat="1" applyFont="1" applyFill="1" applyBorder="1" applyAlignment="1">
      <alignment horizontal="center"/>
    </xf>
    <xf numFmtId="0" fontId="1" fillId="0" borderId="0" xfId="0" applyFont="1" applyProtection="1">
      <protection locked="0"/>
    </xf>
    <xf numFmtId="0" fontId="5" fillId="2" borderId="3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/>
    </xf>
    <xf numFmtId="0" fontId="7" fillId="3" borderId="1" xfId="0" applyFont="1" applyFill="1" applyBorder="1" applyAlignment="1">
      <alignment horizontal="left" wrapText="1"/>
    </xf>
    <xf numFmtId="164" fontId="5" fillId="2" borderId="25" xfId="0" applyNumberFormat="1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33" xfId="0" applyFont="1" applyFill="1" applyBorder="1" applyAlignment="1">
      <alignment horizontal="center"/>
    </xf>
    <xf numFmtId="0" fontId="2" fillId="2" borderId="42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0" fillId="2" borderId="6" xfId="0" applyFill="1" applyBorder="1"/>
    <xf numFmtId="1" fontId="1" fillId="0" borderId="6" xfId="0" applyNumberFormat="1" applyFont="1" applyBorder="1" applyAlignment="1">
      <alignment horizontal="center" vertical="center"/>
    </xf>
    <xf numFmtId="1" fontId="10" fillId="0" borderId="6" xfId="0" applyNumberFormat="1" applyFont="1" applyBorder="1" applyAlignment="1">
      <alignment horizontal="right"/>
    </xf>
    <xf numFmtId="0" fontId="2" fillId="2" borderId="6" xfId="0" quotePrefix="1" applyFont="1" applyFill="1" applyBorder="1" applyAlignment="1">
      <alignment horizontal="center"/>
    </xf>
    <xf numFmtId="0" fontId="0" fillId="0" borderId="6" xfId="0" applyBorder="1" applyProtection="1">
      <protection hidden="1"/>
    </xf>
    <xf numFmtId="0" fontId="2" fillId="2" borderId="13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67" xfId="0" applyFont="1" applyFill="1" applyBorder="1" applyAlignment="1">
      <alignment horizontal="center"/>
    </xf>
    <xf numFmtId="1" fontId="10" fillId="0" borderId="6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12" fillId="0" borderId="0" xfId="0" applyFont="1" applyAlignment="1">
      <alignment vertical="top" wrapText="1"/>
    </xf>
    <xf numFmtId="0" fontId="5" fillId="2" borderId="0" xfId="0" applyFont="1" applyFill="1" applyAlignment="1">
      <alignment horizontal="center" wrapText="1"/>
    </xf>
    <xf numFmtId="0" fontId="5" fillId="2" borderId="3" xfId="0" quotePrefix="1" applyFont="1" applyFill="1" applyBorder="1" applyAlignment="1">
      <alignment horizontal="left" wrapText="1"/>
    </xf>
    <xf numFmtId="0" fontId="5" fillId="2" borderId="10" xfId="0" quotePrefix="1" applyFont="1" applyFill="1" applyBorder="1" applyAlignment="1">
      <alignment horizontal="left" wrapText="1"/>
    </xf>
    <xf numFmtId="0" fontId="5" fillId="6" borderId="5" xfId="0" applyFont="1" applyFill="1" applyBorder="1" applyAlignment="1">
      <alignment horizontal="center"/>
    </xf>
    <xf numFmtId="0" fontId="5" fillId="6" borderId="8" xfId="0" applyFont="1" applyFill="1" applyBorder="1" applyAlignment="1">
      <alignment horizontal="center"/>
    </xf>
    <xf numFmtId="0" fontId="4" fillId="3" borderId="4" xfId="0" applyFont="1" applyFill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9" xfId="0" applyBorder="1" applyAlignment="1">
      <alignment horizontal="center" wrapText="1"/>
    </xf>
    <xf numFmtId="0" fontId="4" fillId="3" borderId="41" xfId="0" applyFont="1" applyFill="1" applyBorder="1" applyAlignment="1">
      <alignment horizontal="center" wrapText="1"/>
    </xf>
    <xf numFmtId="0" fontId="3" fillId="0" borderId="42" xfId="0" applyFont="1" applyBorder="1" applyAlignment="1">
      <alignment horizontal="center" wrapText="1"/>
    </xf>
    <xf numFmtId="0" fontId="7" fillId="3" borderId="4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 wrapText="1"/>
    </xf>
    <xf numFmtId="0" fontId="7" fillId="3" borderId="2" xfId="0" applyFont="1" applyFill="1" applyBorder="1" applyAlignment="1">
      <alignment horizontal="left" wrapText="1"/>
    </xf>
    <xf numFmtId="0" fontId="3" fillId="0" borderId="2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1" xfId="0" applyFont="1" applyBorder="1" applyAlignment="1">
      <alignment horizontal="center" wrapText="1"/>
    </xf>
    <xf numFmtId="0" fontId="3" fillId="0" borderId="9" xfId="0" applyFont="1" applyBorder="1" applyAlignment="1">
      <alignment horizontal="center" wrapText="1"/>
    </xf>
    <xf numFmtId="0" fontId="4" fillId="3" borderId="7" xfId="0" applyFont="1" applyFill="1" applyBorder="1" applyAlignment="1">
      <alignment wrapText="1"/>
    </xf>
    <xf numFmtId="0" fontId="0" fillId="0" borderId="37" xfId="0" applyBorder="1" applyAlignment="1">
      <alignment wrapText="1"/>
    </xf>
    <xf numFmtId="0" fontId="3" fillId="3" borderId="44" xfId="0" applyFont="1" applyFill="1" applyBorder="1" applyAlignment="1">
      <alignment wrapText="1"/>
    </xf>
    <xf numFmtId="0" fontId="3" fillId="0" borderId="45" xfId="0" applyFont="1" applyBorder="1" applyAlignment="1">
      <alignment wrapText="1"/>
    </xf>
    <xf numFmtId="0" fontId="0" fillId="0" borderId="2" xfId="0" applyBorder="1" applyAlignment="1">
      <alignment horizontal="center" wrapText="1"/>
    </xf>
    <xf numFmtId="0" fontId="0" fillId="0" borderId="10" xfId="0" applyBorder="1" applyAlignment="1">
      <alignment horizontal="center" wrapText="1"/>
    </xf>
    <xf numFmtId="0" fontId="3" fillId="2" borderId="4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0" fillId="0" borderId="9" xfId="0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</cellXfs>
  <cellStyles count="1">
    <cellStyle name="Standaard" xfId="0" builtinId="0"/>
  </cellStyles>
  <dxfs count="58">
    <dxf>
      <font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strike val="0"/>
        <color theme="0"/>
      </font>
    </dxf>
    <dxf>
      <font>
        <b val="0"/>
        <i val="0"/>
        <condense val="0"/>
        <extend val="0"/>
        <color indexed="9"/>
      </font>
      <fill>
        <patternFill>
          <bgColor indexed="10"/>
        </patternFill>
      </fill>
    </dxf>
    <dxf>
      <font>
        <b val="0"/>
        <i val="0"/>
        <condense val="0"/>
        <extend val="0"/>
        <color indexed="9"/>
      </font>
      <fill>
        <patternFill>
          <bgColor indexed="10"/>
        </patternFill>
      </fill>
    </dxf>
    <dxf>
      <font>
        <b val="0"/>
        <i val="0"/>
        <condense val="0"/>
        <extend val="0"/>
        <color indexed="9"/>
      </font>
      <fill>
        <patternFill>
          <bgColor indexed="10"/>
        </patternFill>
      </fill>
    </dxf>
    <dxf>
      <font>
        <b val="0"/>
        <i val="0"/>
        <condense val="0"/>
        <extend val="0"/>
        <color indexed="9"/>
      </font>
      <fill>
        <patternFill>
          <bgColor indexed="10"/>
        </patternFill>
      </fill>
    </dxf>
    <dxf>
      <font>
        <b val="0"/>
        <i val="0"/>
        <condense val="0"/>
        <extend val="0"/>
        <color indexed="9"/>
      </font>
      <fill>
        <patternFill>
          <bgColor indexed="10"/>
        </patternFill>
      </fill>
    </dxf>
    <dxf>
      <font>
        <b val="0"/>
        <i val="0"/>
        <condense val="0"/>
        <extend val="0"/>
        <color indexed="9"/>
      </font>
      <fill>
        <patternFill>
          <bgColor indexed="10"/>
        </patternFill>
      </fill>
    </dxf>
    <dxf>
      <font>
        <color theme="0"/>
      </font>
    </dxf>
    <dxf>
      <font>
        <strike val="0"/>
        <color theme="0"/>
      </font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C0006"/>
      <color rgb="FFFFC7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png"/><Relationship Id="rId3" Type="http://schemas.openxmlformats.org/officeDocument/2006/relationships/image" Target="../media/image5.wmf"/><Relationship Id="rId7" Type="http://schemas.openxmlformats.org/officeDocument/2006/relationships/image" Target="../media/image9.png"/><Relationship Id="rId2" Type="http://schemas.openxmlformats.org/officeDocument/2006/relationships/image" Target="../media/image4.wmf"/><Relationship Id="rId1" Type="http://schemas.openxmlformats.org/officeDocument/2006/relationships/image" Target="../media/image3.wmf"/><Relationship Id="rId6" Type="http://schemas.openxmlformats.org/officeDocument/2006/relationships/image" Target="../media/image8.png"/><Relationship Id="rId11" Type="http://schemas.openxmlformats.org/officeDocument/2006/relationships/image" Target="../media/image12.png"/><Relationship Id="rId5" Type="http://schemas.openxmlformats.org/officeDocument/2006/relationships/image" Target="../media/image7.png"/><Relationship Id="rId10" Type="http://schemas.openxmlformats.org/officeDocument/2006/relationships/image" Target="../media/image11.jpeg"/><Relationship Id="rId4" Type="http://schemas.openxmlformats.org/officeDocument/2006/relationships/image" Target="../media/image6.wmf"/><Relationship Id="rId9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png"/><Relationship Id="rId1" Type="http://schemas.openxmlformats.org/officeDocument/2006/relationships/image" Target="../media/image13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5.png"/><Relationship Id="rId1" Type="http://schemas.openxmlformats.org/officeDocument/2006/relationships/image" Target="../media/image13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png"/><Relationship Id="rId1" Type="http://schemas.openxmlformats.org/officeDocument/2006/relationships/image" Target="../media/image13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png"/><Relationship Id="rId1" Type="http://schemas.openxmlformats.org/officeDocument/2006/relationships/image" Target="../media/image1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3367141</xdr:colOff>
      <xdr:row>0</xdr:row>
      <xdr:rowOff>72613</xdr:rowOff>
    </xdr:from>
    <xdr:to>
      <xdr:col>16</xdr:col>
      <xdr:colOff>301278</xdr:colOff>
      <xdr:row>6</xdr:row>
      <xdr:rowOff>30256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F167A639-90E4-FD0B-9F57-CF7904AD34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39341" y="72613"/>
          <a:ext cx="7091597" cy="971103"/>
        </a:xfrm>
        <a:prstGeom prst="rect">
          <a:avLst/>
        </a:prstGeom>
      </xdr:spPr>
    </xdr:pic>
    <xdr:clientData/>
  </xdr:twoCellAnchor>
  <xdr:twoCellAnchor editAs="oneCell">
    <xdr:from>
      <xdr:col>8</xdr:col>
      <xdr:colOff>941294</xdr:colOff>
      <xdr:row>7</xdr:row>
      <xdr:rowOff>35859</xdr:rowOff>
    </xdr:from>
    <xdr:to>
      <xdr:col>9</xdr:col>
      <xdr:colOff>853991</xdr:colOff>
      <xdr:row>11</xdr:row>
      <xdr:rowOff>1807</xdr:rowOff>
    </xdr:to>
    <xdr:pic>
      <xdr:nvPicPr>
        <xdr:cNvPr id="6" name="Picture 6">
          <a:extLst>
            <a:ext uri="{FF2B5EF4-FFF2-40B4-BE49-F238E27FC236}">
              <a16:creationId xmlns:a16="http://schemas.microsoft.com/office/drawing/2014/main" id="{9276D8E0-E1A5-4E4A-B991-337C4633F4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828494" y="1224579"/>
          <a:ext cx="2183457" cy="6441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130</xdr:row>
      <xdr:rowOff>0</xdr:rowOff>
    </xdr:from>
    <xdr:to>
      <xdr:col>7</xdr:col>
      <xdr:colOff>0</xdr:colOff>
      <xdr:row>130</xdr:row>
      <xdr:rowOff>0</xdr:rowOff>
    </xdr:to>
    <xdr:pic>
      <xdr:nvPicPr>
        <xdr:cNvPr id="1115" name="Picture 8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79520" y="102108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0</xdr:colOff>
      <xdr:row>130</xdr:row>
      <xdr:rowOff>0</xdr:rowOff>
    </xdr:from>
    <xdr:to>
      <xdr:col>7</xdr:col>
      <xdr:colOff>0</xdr:colOff>
      <xdr:row>130</xdr:row>
      <xdr:rowOff>0</xdr:rowOff>
    </xdr:to>
    <xdr:pic>
      <xdr:nvPicPr>
        <xdr:cNvPr id="1116" name="Picture 9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79520" y="102108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0</xdr:colOff>
      <xdr:row>130</xdr:row>
      <xdr:rowOff>0</xdr:rowOff>
    </xdr:from>
    <xdr:to>
      <xdr:col>7</xdr:col>
      <xdr:colOff>0</xdr:colOff>
      <xdr:row>130</xdr:row>
      <xdr:rowOff>0</xdr:rowOff>
    </xdr:to>
    <xdr:pic>
      <xdr:nvPicPr>
        <xdr:cNvPr id="1117" name="Picture 10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79520" y="102108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0</xdr:colOff>
      <xdr:row>130</xdr:row>
      <xdr:rowOff>0</xdr:rowOff>
    </xdr:from>
    <xdr:to>
      <xdr:col>7</xdr:col>
      <xdr:colOff>0</xdr:colOff>
      <xdr:row>130</xdr:row>
      <xdr:rowOff>0</xdr:rowOff>
    </xdr:to>
    <xdr:pic>
      <xdr:nvPicPr>
        <xdr:cNvPr id="1118" name="Picture 11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79520" y="102108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14</xdr:col>
      <xdr:colOff>92075</xdr:colOff>
      <xdr:row>130</xdr:row>
      <xdr:rowOff>55517</xdr:rowOff>
    </xdr:from>
    <xdr:to>
      <xdr:col>14</xdr:col>
      <xdr:colOff>473378</xdr:colOff>
      <xdr:row>130</xdr:row>
      <xdr:rowOff>436357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5647761" y="15186660"/>
          <a:ext cx="371778" cy="392270"/>
        </a:xfrm>
        <a:prstGeom prst="rect">
          <a:avLst/>
        </a:prstGeom>
      </xdr:spPr>
    </xdr:pic>
    <xdr:clientData/>
  </xdr:twoCellAnchor>
  <xdr:twoCellAnchor editAs="oneCell">
    <xdr:from>
      <xdr:col>25</xdr:col>
      <xdr:colOff>37374</xdr:colOff>
      <xdr:row>130</xdr:row>
      <xdr:rowOff>47896</xdr:rowOff>
    </xdr:from>
    <xdr:to>
      <xdr:col>25</xdr:col>
      <xdr:colOff>440444</xdr:colOff>
      <xdr:row>130</xdr:row>
      <xdr:rowOff>436366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2342203" y="15179039"/>
          <a:ext cx="412595" cy="399900"/>
        </a:xfrm>
        <a:prstGeom prst="rect">
          <a:avLst/>
        </a:prstGeom>
      </xdr:spPr>
    </xdr:pic>
    <xdr:clientData/>
  </xdr:twoCellAnchor>
  <xdr:twoCellAnchor editAs="oneCell">
    <xdr:from>
      <xdr:col>26</xdr:col>
      <xdr:colOff>32660</xdr:colOff>
      <xdr:row>130</xdr:row>
      <xdr:rowOff>35854</xdr:rowOff>
    </xdr:from>
    <xdr:to>
      <xdr:col>26</xdr:col>
      <xdr:colOff>421280</xdr:colOff>
      <xdr:row>130</xdr:row>
      <xdr:rowOff>421485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3077717" y="15166997"/>
          <a:ext cx="388620" cy="385631"/>
        </a:xfrm>
        <a:prstGeom prst="rect">
          <a:avLst/>
        </a:prstGeom>
      </xdr:spPr>
    </xdr:pic>
    <xdr:clientData/>
  </xdr:twoCellAnchor>
  <xdr:twoCellAnchor editAs="oneCell">
    <xdr:from>
      <xdr:col>11</xdr:col>
      <xdr:colOff>22860</xdr:colOff>
      <xdr:row>130</xdr:row>
      <xdr:rowOff>28236</xdr:rowOff>
    </xdr:from>
    <xdr:to>
      <xdr:col>11</xdr:col>
      <xdr:colOff>401955</xdr:colOff>
      <xdr:row>130</xdr:row>
      <xdr:rowOff>398627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3608231" y="15159379"/>
          <a:ext cx="388620" cy="385631"/>
        </a:xfrm>
        <a:prstGeom prst="rect">
          <a:avLst/>
        </a:prstGeom>
      </xdr:spPr>
    </xdr:pic>
    <xdr:clientData/>
  </xdr:twoCellAnchor>
  <xdr:twoCellAnchor editAs="oneCell">
    <xdr:from>
      <xdr:col>9</xdr:col>
      <xdr:colOff>59418</xdr:colOff>
      <xdr:row>130</xdr:row>
      <xdr:rowOff>38916</xdr:rowOff>
    </xdr:from>
    <xdr:to>
      <xdr:col>9</xdr:col>
      <xdr:colOff>479633</xdr:colOff>
      <xdr:row>130</xdr:row>
      <xdr:rowOff>438816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2447361" y="15170059"/>
          <a:ext cx="412595" cy="399900"/>
        </a:xfrm>
        <a:prstGeom prst="rect">
          <a:avLst/>
        </a:prstGeom>
      </xdr:spPr>
    </xdr:pic>
    <xdr:clientData/>
  </xdr:twoCellAnchor>
  <xdr:twoCellAnchor editAs="oneCell">
    <xdr:from>
      <xdr:col>28</xdr:col>
      <xdr:colOff>38102</xdr:colOff>
      <xdr:row>130</xdr:row>
      <xdr:rowOff>28235</xdr:rowOff>
    </xdr:from>
    <xdr:to>
      <xdr:col>28</xdr:col>
      <xdr:colOff>438152</xdr:colOff>
      <xdr:row>130</xdr:row>
      <xdr:rowOff>398626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4062873" y="15159378"/>
          <a:ext cx="388620" cy="385631"/>
        </a:xfrm>
        <a:prstGeom prst="rect">
          <a:avLst/>
        </a:prstGeom>
      </xdr:spPr>
    </xdr:pic>
    <xdr:clientData/>
  </xdr:twoCellAnchor>
  <xdr:twoCellAnchor editAs="oneCell">
    <xdr:from>
      <xdr:col>22</xdr:col>
      <xdr:colOff>44633</xdr:colOff>
      <xdr:row>130</xdr:row>
      <xdr:rowOff>28236</xdr:rowOff>
    </xdr:from>
    <xdr:to>
      <xdr:col>22</xdr:col>
      <xdr:colOff>440873</xdr:colOff>
      <xdr:row>130</xdr:row>
      <xdr:rowOff>398627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1010519" y="15159379"/>
          <a:ext cx="388620" cy="385631"/>
        </a:xfrm>
        <a:prstGeom prst="rect">
          <a:avLst/>
        </a:prstGeom>
      </xdr:spPr>
    </xdr:pic>
    <xdr:clientData/>
  </xdr:twoCellAnchor>
  <xdr:twoCellAnchor editAs="oneCell">
    <xdr:from>
      <xdr:col>29</xdr:col>
      <xdr:colOff>47566</xdr:colOff>
      <xdr:row>130</xdr:row>
      <xdr:rowOff>16564</xdr:rowOff>
    </xdr:from>
    <xdr:to>
      <xdr:col>29</xdr:col>
      <xdr:colOff>453413</xdr:colOff>
      <xdr:row>130</xdr:row>
      <xdr:rowOff>439284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5541909" y="15147707"/>
          <a:ext cx="405847" cy="411290"/>
        </a:xfrm>
        <a:prstGeom prst="rect">
          <a:avLst/>
        </a:prstGeom>
      </xdr:spPr>
    </xdr:pic>
    <xdr:clientData/>
  </xdr:twoCellAnchor>
  <xdr:twoCellAnchor editAs="oneCell">
    <xdr:from>
      <xdr:col>9</xdr:col>
      <xdr:colOff>597811</xdr:colOff>
      <xdr:row>6</xdr:row>
      <xdr:rowOff>139065</xdr:rowOff>
    </xdr:from>
    <xdr:to>
      <xdr:col>13</xdr:col>
      <xdr:colOff>208734</xdr:colOff>
      <xdr:row>10</xdr:row>
      <xdr:rowOff>98611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6EE1A30E-5E3C-47A7-BF20-49EDC8D941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58640" y="1140551"/>
          <a:ext cx="2193286" cy="642080"/>
        </a:xfrm>
        <a:prstGeom prst="rect">
          <a:avLst/>
        </a:prstGeom>
      </xdr:spPr>
    </xdr:pic>
    <xdr:clientData/>
  </xdr:twoCellAnchor>
  <xdr:twoCellAnchor editAs="oneCell">
    <xdr:from>
      <xdr:col>1</xdr:col>
      <xdr:colOff>205925</xdr:colOff>
      <xdr:row>130</xdr:row>
      <xdr:rowOff>118384</xdr:rowOff>
    </xdr:from>
    <xdr:to>
      <xdr:col>1</xdr:col>
      <xdr:colOff>1469145</xdr:colOff>
      <xdr:row>130</xdr:row>
      <xdr:rowOff>474618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672B1E2-AAAE-42C9-AA98-39417D9308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4525" y="19396984"/>
          <a:ext cx="1272745" cy="371474"/>
        </a:xfrm>
        <a:prstGeom prst="rect">
          <a:avLst/>
        </a:prstGeom>
      </xdr:spPr>
    </xdr:pic>
    <xdr:clientData/>
  </xdr:twoCellAnchor>
  <xdr:oneCellAnchor>
    <xdr:from>
      <xdr:col>24</xdr:col>
      <xdr:colOff>37374</xdr:colOff>
      <xdr:row>130</xdr:row>
      <xdr:rowOff>47896</xdr:rowOff>
    </xdr:from>
    <xdr:ext cx="412595" cy="399900"/>
    <xdr:pic>
      <xdr:nvPicPr>
        <xdr:cNvPr id="9" name="Picture 8">
          <a:extLst>
            <a:ext uri="{FF2B5EF4-FFF2-40B4-BE49-F238E27FC236}">
              <a16:creationId xmlns:a16="http://schemas.microsoft.com/office/drawing/2014/main" id="{704AF325-5AF4-43A8-9B58-11C9B0D96B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2396631" y="19653067"/>
          <a:ext cx="412595" cy="399900"/>
        </a:xfrm>
        <a:prstGeom prst="rect">
          <a:avLst/>
        </a:prstGeom>
      </xdr:spPr>
    </xdr:pic>
    <xdr:clientData/>
  </xdr:oneCellAnchor>
  <xdr:oneCellAnchor>
    <xdr:from>
      <xdr:col>25</xdr:col>
      <xdr:colOff>32660</xdr:colOff>
      <xdr:row>130</xdr:row>
      <xdr:rowOff>35854</xdr:rowOff>
    </xdr:from>
    <xdr:ext cx="388620" cy="385631"/>
    <xdr:pic>
      <xdr:nvPicPr>
        <xdr:cNvPr id="10" name="Picture 9">
          <a:extLst>
            <a:ext uri="{FF2B5EF4-FFF2-40B4-BE49-F238E27FC236}">
              <a16:creationId xmlns:a16="http://schemas.microsoft.com/office/drawing/2014/main" id="{A61E8717-4749-41C2-9D9C-5451304620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3371631" y="19641025"/>
          <a:ext cx="388620" cy="385631"/>
        </a:xfrm>
        <a:prstGeom prst="rect">
          <a:avLst/>
        </a:prstGeom>
      </xdr:spPr>
    </xdr:pic>
    <xdr:clientData/>
  </xdr:oneCellAnchor>
  <xdr:oneCellAnchor>
    <xdr:from>
      <xdr:col>26</xdr:col>
      <xdr:colOff>38102</xdr:colOff>
      <xdr:row>130</xdr:row>
      <xdr:rowOff>28235</xdr:rowOff>
    </xdr:from>
    <xdr:ext cx="388620" cy="385631"/>
    <xdr:pic>
      <xdr:nvPicPr>
        <xdr:cNvPr id="11" name="Picture 10">
          <a:extLst>
            <a:ext uri="{FF2B5EF4-FFF2-40B4-BE49-F238E27FC236}">
              <a16:creationId xmlns:a16="http://schemas.microsoft.com/office/drawing/2014/main" id="{9B588B04-80A5-478D-8ABD-BA28E77C55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4204388" y="19633406"/>
          <a:ext cx="388620" cy="385631"/>
        </a:xfrm>
        <a:prstGeom prst="rect">
          <a:avLst/>
        </a:prstGeom>
      </xdr:spPr>
    </xdr:pic>
    <xdr:clientData/>
  </xdr:oneCellAnchor>
  <xdr:oneCellAnchor>
    <xdr:from>
      <xdr:col>28</xdr:col>
      <xdr:colOff>41367</xdr:colOff>
      <xdr:row>130</xdr:row>
      <xdr:rowOff>17350</xdr:rowOff>
    </xdr:from>
    <xdr:ext cx="388620" cy="385631"/>
    <xdr:pic>
      <xdr:nvPicPr>
        <xdr:cNvPr id="12" name="Picture 11">
          <a:extLst>
            <a:ext uri="{FF2B5EF4-FFF2-40B4-BE49-F238E27FC236}">
              <a16:creationId xmlns:a16="http://schemas.microsoft.com/office/drawing/2014/main" id="{4FDCFFAE-0715-47C1-8944-FAEFB296F7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4849910" y="19622521"/>
          <a:ext cx="388620" cy="385631"/>
        </a:xfrm>
        <a:prstGeom prst="rect">
          <a:avLst/>
        </a:prstGeom>
      </xdr:spPr>
    </xdr:pic>
    <xdr:clientData/>
  </xdr:oneCellAnchor>
  <xdr:twoCellAnchor editAs="oneCell">
    <xdr:from>
      <xdr:col>7</xdr:col>
      <xdr:colOff>274320</xdr:colOff>
      <xdr:row>1</xdr:row>
      <xdr:rowOff>83820</xdr:rowOff>
    </xdr:from>
    <xdr:to>
      <xdr:col>16</xdr:col>
      <xdr:colOff>57103</xdr:colOff>
      <xdr:row>7</xdr:row>
      <xdr:rowOff>54590</xdr:rowOff>
    </xdr:to>
    <xdr:pic>
      <xdr:nvPicPr>
        <xdr:cNvPr id="8" name="Afbeelding 7">
          <a:extLst>
            <a:ext uri="{FF2B5EF4-FFF2-40B4-BE49-F238E27FC236}">
              <a16:creationId xmlns:a16="http://schemas.microsoft.com/office/drawing/2014/main" id="{B3BBD9D3-6080-40CE-803B-F6496CEF01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44100" y="259080"/>
          <a:ext cx="7080839" cy="97715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910550</xdr:colOff>
      <xdr:row>0</xdr:row>
      <xdr:rowOff>66002</xdr:rowOff>
    </xdr:from>
    <xdr:to>
      <xdr:col>9</xdr:col>
      <xdr:colOff>1786281</xdr:colOff>
      <xdr:row>4</xdr:row>
      <xdr:rowOff>40915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id="{C1C69D50-67BA-4B45-A593-894655A036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8103" y="66002"/>
          <a:ext cx="2184578" cy="656231"/>
        </a:xfrm>
        <a:prstGeom prst="rect">
          <a:avLst/>
        </a:prstGeom>
      </xdr:spPr>
    </xdr:pic>
    <xdr:clientData/>
  </xdr:twoCellAnchor>
  <xdr:twoCellAnchor editAs="oneCell">
    <xdr:from>
      <xdr:col>4</xdr:col>
      <xdr:colOff>923364</xdr:colOff>
      <xdr:row>0</xdr:row>
      <xdr:rowOff>53788</xdr:rowOff>
    </xdr:from>
    <xdr:to>
      <xdr:col>9</xdr:col>
      <xdr:colOff>1065520</xdr:colOff>
      <xdr:row>6</xdr:row>
      <xdr:rowOff>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2CC599DD-EE9A-4549-9E02-FB6D058613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91082" y="53788"/>
          <a:ext cx="7080839" cy="97715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448121</xdr:colOff>
      <xdr:row>0</xdr:row>
      <xdr:rowOff>50314</xdr:rowOff>
    </xdr:from>
    <xdr:to>
      <xdr:col>7</xdr:col>
      <xdr:colOff>1286499</xdr:colOff>
      <xdr:row>4</xdr:row>
      <xdr:rowOff>46145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id="{B9FABAF8-5A8E-46BB-A64B-8AB111948C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9621" y="50314"/>
          <a:ext cx="2184578" cy="656231"/>
        </a:xfrm>
        <a:prstGeom prst="rect">
          <a:avLst/>
        </a:prstGeom>
      </xdr:spPr>
    </xdr:pic>
    <xdr:clientData/>
  </xdr:twoCellAnchor>
  <xdr:twoCellAnchor editAs="oneCell">
    <xdr:from>
      <xdr:col>2</xdr:col>
      <xdr:colOff>139700</xdr:colOff>
      <xdr:row>0</xdr:row>
      <xdr:rowOff>38100</xdr:rowOff>
    </xdr:from>
    <xdr:to>
      <xdr:col>7</xdr:col>
      <xdr:colOff>565739</xdr:colOff>
      <xdr:row>6</xdr:row>
      <xdr:rowOff>24654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C415A3D6-6F1B-418B-BBB3-7B7F991BE4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92600" y="38100"/>
          <a:ext cx="7080839" cy="97715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1125703</xdr:colOff>
      <xdr:row>0</xdr:row>
      <xdr:rowOff>66003</xdr:rowOff>
    </xdr:from>
    <xdr:to>
      <xdr:col>7</xdr:col>
      <xdr:colOff>1006352</xdr:colOff>
      <xdr:row>4</xdr:row>
      <xdr:rowOff>40916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id="{ABEE55CB-1220-47AC-9D34-E8F98FEF78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84974" y="66003"/>
          <a:ext cx="2184578" cy="656231"/>
        </a:xfrm>
        <a:prstGeom prst="rect">
          <a:avLst/>
        </a:prstGeom>
      </xdr:spPr>
    </xdr:pic>
    <xdr:clientData/>
  </xdr:twoCellAnchor>
  <xdr:twoCellAnchor editAs="oneCell">
    <xdr:from>
      <xdr:col>1</xdr:col>
      <xdr:colOff>2958353</xdr:colOff>
      <xdr:row>0</xdr:row>
      <xdr:rowOff>53789</xdr:rowOff>
    </xdr:from>
    <xdr:to>
      <xdr:col>7</xdr:col>
      <xdr:colOff>285592</xdr:colOff>
      <xdr:row>6</xdr:row>
      <xdr:rowOff>8967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61A9DCEF-550B-4826-A958-5A8BB4539E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67953" y="53789"/>
          <a:ext cx="7080839" cy="97715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54421</xdr:colOff>
      <xdr:row>0</xdr:row>
      <xdr:rowOff>55757</xdr:rowOff>
    </xdr:from>
    <xdr:to>
      <xdr:col>8</xdr:col>
      <xdr:colOff>1074227</xdr:colOff>
      <xdr:row>4</xdr:row>
      <xdr:rowOff>58845</xdr:rowOff>
    </xdr:to>
    <xdr:pic>
      <xdr:nvPicPr>
        <xdr:cNvPr id="2" name="Picture 6">
          <a:extLst>
            <a:ext uri="{FF2B5EF4-FFF2-40B4-BE49-F238E27FC236}">
              <a16:creationId xmlns:a16="http://schemas.microsoft.com/office/drawing/2014/main" id="{3EC8C0A8-7720-4016-89B0-7B7A68AF8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30535" y="55757"/>
          <a:ext cx="2184578" cy="656231"/>
        </a:xfrm>
        <a:prstGeom prst="rect">
          <a:avLst/>
        </a:prstGeom>
      </xdr:spPr>
    </xdr:pic>
    <xdr:clientData/>
  </xdr:twoCellAnchor>
  <xdr:twoCellAnchor editAs="oneCell">
    <xdr:from>
      <xdr:col>2</xdr:col>
      <xdr:colOff>555171</xdr:colOff>
      <xdr:row>0</xdr:row>
      <xdr:rowOff>43543</xdr:rowOff>
    </xdr:from>
    <xdr:to>
      <xdr:col>8</xdr:col>
      <xdr:colOff>353467</xdr:colOff>
      <xdr:row>6</xdr:row>
      <xdr:rowOff>40983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06CC743-5186-4A80-BF7D-1BAF1A50B6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13514" y="43543"/>
          <a:ext cx="7080839" cy="9771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A6FEE-AB6A-4FB9-A307-964A941204EC}">
  <dimension ref="A1:Q148"/>
  <sheetViews>
    <sheetView showGridLines="0" tabSelected="1" view="pageBreakPreview" zoomScaleNormal="100" zoomScaleSheetLayoutView="100" workbookViewId="0">
      <selection activeCell="E14" sqref="E14"/>
    </sheetView>
  </sheetViews>
  <sheetFormatPr defaultRowHeight="13.2" x14ac:dyDescent="0.25"/>
  <cols>
    <col min="1" max="1" width="8.88671875" style="281"/>
    <col min="2" max="2" width="49" customWidth="1"/>
    <col min="3" max="3" width="11.6640625" customWidth="1"/>
    <col min="4" max="4" width="10.109375" style="168" customWidth="1"/>
    <col min="5" max="5" width="10.33203125" bestFit="1" customWidth="1"/>
    <col min="6" max="6" width="49.109375" customWidth="1"/>
    <col min="7" max="7" width="3" customWidth="1"/>
    <col min="8" max="8" width="31.21875" customWidth="1"/>
    <col min="9" max="9" width="33.109375" customWidth="1"/>
    <col min="10" max="10" width="31.6640625" customWidth="1"/>
    <col min="11" max="11" width="8.88671875" style="281" hidden="1" customWidth="1"/>
    <col min="12" max="12" width="9.33203125" style="281" hidden="1" customWidth="1"/>
    <col min="13" max="13" width="9" style="281" hidden="1" customWidth="1"/>
    <col min="14" max="16" width="8.88671875" style="281" hidden="1" customWidth="1"/>
    <col min="17" max="17" width="8.88671875" style="281" customWidth="1"/>
    <col min="18" max="31" width="8.88671875" customWidth="1"/>
  </cols>
  <sheetData>
    <row r="1" spans="2:16" s="281" customFormat="1" ht="13.8" thickBot="1" x14ac:dyDescent="0.3">
      <c r="D1" s="282"/>
      <c r="G1"/>
      <c r="H1"/>
      <c r="I1"/>
      <c r="J1"/>
    </row>
    <row r="2" spans="2:16" x14ac:dyDescent="0.25">
      <c r="B2" s="279" t="s">
        <v>325</v>
      </c>
      <c r="C2" s="280"/>
      <c r="D2" s="277"/>
      <c r="E2" s="2"/>
      <c r="F2" s="278" t="s">
        <v>508</v>
      </c>
      <c r="G2" s="272"/>
      <c r="H2" s="135" t="s">
        <v>512</v>
      </c>
      <c r="I2" s="135" t="s">
        <v>529</v>
      </c>
      <c r="M2" s="283"/>
      <c r="N2" s="283"/>
      <c r="O2" s="283"/>
    </row>
    <row r="3" spans="2:16" x14ac:dyDescent="0.25">
      <c r="B3" s="269" t="s">
        <v>518</v>
      </c>
      <c r="C3" s="207"/>
      <c r="E3" s="275"/>
      <c r="F3" s="9" t="s">
        <v>511</v>
      </c>
      <c r="G3" s="272"/>
      <c r="H3" s="135" t="s">
        <v>513</v>
      </c>
      <c r="I3" s="276">
        <v>46009</v>
      </c>
      <c r="K3" s="284">
        <f>COUNTIF(I16, "17.05.05 Gevaarlijk afval")</f>
        <v>0</v>
      </c>
      <c r="L3" s="284">
        <f>COUNTIF(I16, "Nadere beoordeling")</f>
        <v>0</v>
      </c>
      <c r="M3" s="285">
        <f>MAX(M5:M7)</f>
        <v>0</v>
      </c>
      <c r="N3" s="285">
        <f>SUM(N5:N7)</f>
        <v>0</v>
      </c>
      <c r="O3" s="285">
        <f>SUM(O5:O7)</f>
        <v>0</v>
      </c>
      <c r="P3" s="285">
        <f>MAX(M3:O3)</f>
        <v>0</v>
      </c>
    </row>
    <row r="4" spans="2:16" x14ac:dyDescent="0.25">
      <c r="B4" s="269" t="s">
        <v>519</v>
      </c>
      <c r="C4" s="307"/>
      <c r="E4" s="275"/>
      <c r="F4" s="9"/>
      <c r="G4" s="272"/>
      <c r="H4" s="135"/>
      <c r="I4" s="276"/>
      <c r="K4" s="284"/>
      <c r="L4" s="286"/>
      <c r="M4" s="285"/>
      <c r="N4" s="285"/>
      <c r="O4" s="285"/>
      <c r="P4" s="285"/>
    </row>
    <row r="5" spans="2:16" x14ac:dyDescent="0.25">
      <c r="B5" s="269" t="s">
        <v>520</v>
      </c>
      <c r="C5" s="270">
        <f ca="1">TODAY()</f>
        <v>46041</v>
      </c>
      <c r="E5" s="271"/>
      <c r="F5" s="9" t="s">
        <v>509</v>
      </c>
      <c r="G5" s="272"/>
      <c r="K5" s="284">
        <f>COUNTIF(I17, "Sterk verontreinigd")</f>
        <v>0</v>
      </c>
      <c r="M5" s="284">
        <f>COUNTIF(I17, "STerk verontreinigd")</f>
        <v>0</v>
      </c>
      <c r="N5" s="284">
        <f>COUNTIF(I17, "Matig verontreinigd")</f>
        <v>0</v>
      </c>
      <c r="O5" s="284">
        <f>COUNTIF(I17, "Licht verontreinigd")</f>
        <v>0</v>
      </c>
    </row>
    <row r="6" spans="2:16" x14ac:dyDescent="0.25">
      <c r="B6" s="231"/>
      <c r="C6" s="6"/>
      <c r="D6" s="232"/>
      <c r="E6" s="337"/>
      <c r="F6" s="335" t="s">
        <v>510</v>
      </c>
      <c r="G6" s="272"/>
      <c r="K6" s="284">
        <f>COUNTIF(I18, "niet verspreidbaar")</f>
        <v>0</v>
      </c>
      <c r="M6" s="284">
        <f>COUNTIF(I18, "niet verspreidbaar")</f>
        <v>0</v>
      </c>
      <c r="N6" s="284">
        <f>COUNTIF(I18, "niet verspreidbaar")</f>
        <v>0</v>
      </c>
      <c r="O6" s="284">
        <f>COUNTIF(I18, "niet verspreidbaar")</f>
        <v>0</v>
      </c>
    </row>
    <row r="7" spans="2:16" ht="13.8" thickBot="1" x14ac:dyDescent="0.3">
      <c r="B7" s="231"/>
      <c r="C7" s="6"/>
      <c r="D7" s="232"/>
      <c r="E7" s="338"/>
      <c r="F7" s="336"/>
      <c r="G7" s="272"/>
      <c r="K7" s="284">
        <f>COUNTIF(I19, "niet verspreidbaar")</f>
        <v>0</v>
      </c>
      <c r="M7" s="284">
        <f>COUNTIF(I19, "niet verspreidbaar")</f>
        <v>0</v>
      </c>
      <c r="N7" s="284">
        <f>COUNTIF(I19, "niet verspreidbaar")</f>
        <v>0</v>
      </c>
      <c r="O7" s="284">
        <f>COUNTIF(I19, "niet verspreidbaar")</f>
        <v>0</v>
      </c>
    </row>
    <row r="8" spans="2:16" x14ac:dyDescent="0.25">
      <c r="B8" s="231"/>
      <c r="C8" s="6"/>
      <c r="D8" s="232"/>
      <c r="E8" s="274"/>
      <c r="F8" s="273"/>
      <c r="G8" s="272"/>
      <c r="K8" s="284">
        <f>COUNTIF(I20, "niet toepasbaar")</f>
        <v>0</v>
      </c>
      <c r="M8" s="286"/>
      <c r="N8" s="286"/>
      <c r="O8" s="286"/>
    </row>
    <row r="9" spans="2:16" x14ac:dyDescent="0.25">
      <c r="B9" s="231" t="s">
        <v>291</v>
      </c>
      <c r="C9" s="6"/>
      <c r="D9" s="232"/>
      <c r="E9" s="205">
        <v>1200</v>
      </c>
      <c r="F9" s="9" t="s">
        <v>356</v>
      </c>
      <c r="G9" s="6"/>
      <c r="K9" s="284">
        <f>COUNTIF(I21, "niet toepasbaar")</f>
        <v>0</v>
      </c>
    </row>
    <row r="10" spans="2:16" x14ac:dyDescent="0.25">
      <c r="B10" s="231" t="s">
        <v>292</v>
      </c>
      <c r="C10" s="6"/>
      <c r="D10" s="232"/>
      <c r="E10" s="205">
        <v>60</v>
      </c>
      <c r="F10" s="9" t="s">
        <v>357</v>
      </c>
      <c r="G10" s="6"/>
      <c r="K10" s="284">
        <f>COUNTIF(I22, "Sterk verontreinigd")</f>
        <v>0</v>
      </c>
    </row>
    <row r="11" spans="2:16" ht="13.8" thickBot="1" x14ac:dyDescent="0.3">
      <c r="B11" s="231" t="s">
        <v>212</v>
      </c>
      <c r="C11" s="6"/>
      <c r="D11" s="232"/>
      <c r="E11" s="268">
        <f>(E9*(1-E10%)+1000*E10%)/(E9*(1-E10%))</f>
        <v>2.25</v>
      </c>
      <c r="F11" s="9"/>
      <c r="G11" s="6"/>
      <c r="K11" s="287" t="str" cm="1">
        <f t="array" ref="K11">_xlfn.IFS(K3&gt;0,"Nee",K5=1,"Ja",K9=1,"Ja",K10=1,"Ja",N3=3,"Ja",O3=3,"Ja",O3=2,"Ja, mits",N3=2,"Ja, mits",TRUE,"Nee")</f>
        <v>Nee</v>
      </c>
    </row>
    <row r="12" spans="2:16" x14ac:dyDescent="0.25">
      <c r="B12" s="231"/>
      <c r="C12" s="6"/>
      <c r="D12" s="232"/>
      <c r="E12" s="6"/>
      <c r="F12" s="9"/>
      <c r="G12" s="6"/>
    </row>
    <row r="13" spans="2:16" x14ac:dyDescent="0.25">
      <c r="B13" s="231"/>
      <c r="C13" s="6"/>
      <c r="D13" s="232"/>
      <c r="E13" s="6" t="s">
        <v>427</v>
      </c>
      <c r="F13" s="9" t="s">
        <v>295</v>
      </c>
      <c r="G13" s="6"/>
      <c r="L13" s="281" t="str">
        <f>IF(AND(K11="Ja",I16="Nadere beoordeling"),"Nadere beoordeling","1")</f>
        <v>1</v>
      </c>
    </row>
    <row r="14" spans="2:16" ht="13.8" thickBot="1" x14ac:dyDescent="0.3">
      <c r="B14" s="231" t="s">
        <v>425</v>
      </c>
      <c r="C14" s="6"/>
      <c r="D14" s="232"/>
      <c r="E14" s="206"/>
      <c r="F14" s="264" t="str">
        <f>IF(E14&lt;2,"WAARSCHUWING, standaardisering wordt uitgevoerd met 2%","")</f>
        <v>WAARSCHUWING, standaardisering wordt uitgevoerd met 2%</v>
      </c>
      <c r="G14" s="6"/>
      <c r="L14" s="281" t="str">
        <f>IF(AND(EURAL!F32="1",I17="Nadere beoordeling"),"geen gevaarlijk afval","gevaarlijk afval")</f>
        <v>gevaarlijk afval</v>
      </c>
    </row>
    <row r="15" spans="2:16" x14ac:dyDescent="0.25">
      <c r="B15" s="231" t="s">
        <v>426</v>
      </c>
      <c r="C15" s="6"/>
      <c r="D15" s="232"/>
      <c r="E15" s="206"/>
      <c r="F15" s="264" t="str">
        <f>IF(E15&lt;2,"WAARSCHUWING, standaardisering wordt uitgevoerd met 2%","")</f>
        <v>WAARSCHUWING, standaardisering wordt uitgevoerd met 2%</v>
      </c>
      <c r="G15" s="6"/>
      <c r="H15" s="265" t="s">
        <v>490</v>
      </c>
      <c r="I15" s="266"/>
      <c r="J15" s="267" t="s">
        <v>507</v>
      </c>
    </row>
    <row r="16" spans="2:16" x14ac:dyDescent="0.25">
      <c r="B16" s="231"/>
      <c r="C16" s="6"/>
      <c r="D16" s="334" t="s">
        <v>506</v>
      </c>
      <c r="E16" s="6"/>
      <c r="F16" s="9"/>
      <c r="G16" s="6"/>
      <c r="H16" s="261" t="s">
        <v>491</v>
      </c>
      <c r="I16" s="249" t="str">
        <f>EURAL!AH9</f>
        <v>17.05.06</v>
      </c>
      <c r="J16" s="250"/>
    </row>
    <row r="17" spans="2:10" x14ac:dyDescent="0.25">
      <c r="B17" s="7" t="s">
        <v>346</v>
      </c>
      <c r="C17" s="144"/>
      <c r="D17" s="334"/>
      <c r="E17" s="6" t="s">
        <v>294</v>
      </c>
      <c r="F17" s="9" t="s">
        <v>295</v>
      </c>
      <c r="G17" s="6"/>
      <c r="H17" s="261" t="s">
        <v>492</v>
      </c>
      <c r="I17" s="249" t="str">
        <f>'Toepassen op waterbodem'!J87</f>
        <v>Niet verontreinigd</v>
      </c>
      <c r="J17" s="250"/>
    </row>
    <row r="18" spans="2:10" x14ac:dyDescent="0.25">
      <c r="B18" s="262" t="s">
        <v>403</v>
      </c>
      <c r="C18" s="263"/>
      <c r="D18" s="208"/>
      <c r="E18" s="202"/>
      <c r="F18" s="221" t="s">
        <v>203</v>
      </c>
      <c r="G18" s="222"/>
      <c r="H18" s="261" t="s">
        <v>515</v>
      </c>
      <c r="I18" s="249" t="str">
        <f>'Verspreiden in zoet opp water'!H87</f>
        <v>Wel verspreidbaar</v>
      </c>
      <c r="J18" s="250"/>
    </row>
    <row r="19" spans="2:10" x14ac:dyDescent="0.25">
      <c r="B19" s="257" t="s">
        <v>347</v>
      </c>
      <c r="C19" s="258"/>
      <c r="D19" s="209"/>
      <c r="E19" s="202"/>
      <c r="F19" s="221" t="s">
        <v>203</v>
      </c>
      <c r="G19" s="222"/>
      <c r="H19" s="261" t="s">
        <v>516</v>
      </c>
      <c r="I19" s="249" t="str">
        <f>'Verspreiden in zout opp water'!H87</f>
        <v>Wel verspreidbaar</v>
      </c>
      <c r="J19" s="250"/>
    </row>
    <row r="20" spans="2:10" x14ac:dyDescent="0.25">
      <c r="B20" s="257" t="s">
        <v>223</v>
      </c>
      <c r="C20" s="258"/>
      <c r="D20" s="209"/>
      <c r="E20" s="202"/>
      <c r="F20" s="221" t="s">
        <v>203</v>
      </c>
      <c r="G20" s="222"/>
      <c r="H20" s="261" t="s">
        <v>493</v>
      </c>
      <c r="I20" s="249" t="str">
        <f>'Toepassen in diepe plas'!I87</f>
        <v>Wel toepasbaar</v>
      </c>
      <c r="J20" s="250"/>
    </row>
    <row r="21" spans="2:10" x14ac:dyDescent="0.25">
      <c r="B21" s="257" t="s">
        <v>349</v>
      </c>
      <c r="C21" s="258"/>
      <c r="D21" s="209"/>
      <c r="E21" s="202"/>
      <c r="F21" s="221" t="s">
        <v>203</v>
      </c>
      <c r="G21" s="222"/>
      <c r="H21" s="248" t="s">
        <v>488</v>
      </c>
      <c r="I21" s="249" t="str">
        <f>'Toepassen op waterbodem'!G125</f>
        <v>Wel toepasbaar</v>
      </c>
      <c r="J21" s="250"/>
    </row>
    <row r="22" spans="2:10" ht="13.8" thickBot="1" x14ac:dyDescent="0.3">
      <c r="B22" s="257" t="s">
        <v>350</v>
      </c>
      <c r="C22" s="258"/>
      <c r="D22" s="209"/>
      <c r="E22" s="202"/>
      <c r="F22" s="221" t="s">
        <v>203</v>
      </c>
      <c r="G22" s="222"/>
      <c r="H22" s="251" t="s">
        <v>355</v>
      </c>
      <c r="I22" s="252" t="str">
        <f>'Toepassen op waterbodem'!J88</f>
        <v>Niet verontreinigd</v>
      </c>
      <c r="J22" s="253"/>
    </row>
    <row r="23" spans="2:10" ht="13.8" thickBot="1" x14ac:dyDescent="0.3">
      <c r="B23" s="257" t="s">
        <v>352</v>
      </c>
      <c r="C23" s="258"/>
      <c r="D23" s="209"/>
      <c r="E23" s="202"/>
      <c r="F23" s="221" t="s">
        <v>203</v>
      </c>
      <c r="G23" s="222"/>
      <c r="H23" s="254" t="s">
        <v>497</v>
      </c>
      <c r="I23" s="255" t="str" cm="1">
        <f t="array" ref="I23">IF(L13="1",_xlfn.IFS(K3&gt;0,"Nee",K5=1,"Ja",K9=1,"Ja",K10=1,"Ja",N3=3,"Ja",O3=3,"Ja",O3=2,"Nee, mits",N3=2,"Nee, mits",L3=1,"Nadere beoordeling Gevaarlijk Afval",TRUE,"Nee"),"Nadere beschouwing Gevaarlijk Afval")</f>
        <v>Nee</v>
      </c>
      <c r="J23" s="256" t="str">
        <f>'Toepassen op waterbodem'!J11</f>
        <v xml:space="preserve"> </v>
      </c>
    </row>
    <row r="24" spans="2:10" x14ac:dyDescent="0.25">
      <c r="B24" s="257" t="s">
        <v>194</v>
      </c>
      <c r="C24" s="258"/>
      <c r="D24" s="209"/>
      <c r="E24" s="202"/>
      <c r="F24" s="221" t="s">
        <v>203</v>
      </c>
      <c r="G24" s="222"/>
      <c r="H24" s="22"/>
      <c r="I24" s="22"/>
      <c r="J24" s="333"/>
    </row>
    <row r="25" spans="2:10" x14ac:dyDescent="0.25">
      <c r="B25" s="259" t="s">
        <v>164</v>
      </c>
      <c r="C25" s="260"/>
      <c r="D25" s="209"/>
      <c r="E25" s="202"/>
      <c r="F25" s="221" t="s">
        <v>203</v>
      </c>
      <c r="G25" s="222"/>
    </row>
    <row r="26" spans="2:10" x14ac:dyDescent="0.25">
      <c r="B26" s="257" t="s">
        <v>140</v>
      </c>
      <c r="C26" s="258"/>
      <c r="D26" s="209"/>
      <c r="E26" s="202"/>
      <c r="F26" s="221" t="s">
        <v>203</v>
      </c>
      <c r="G26" s="222"/>
      <c r="H26" s="8"/>
      <c r="I26" s="8"/>
      <c r="J26" s="8"/>
    </row>
    <row r="27" spans="2:10" x14ac:dyDescent="0.25">
      <c r="B27" s="257" t="s">
        <v>348</v>
      </c>
      <c r="C27" s="258"/>
      <c r="D27" s="209"/>
      <c r="E27" s="202"/>
      <c r="F27" s="221" t="s">
        <v>203</v>
      </c>
      <c r="G27" s="222"/>
      <c r="H27" s="8"/>
      <c r="I27" s="8"/>
      <c r="J27" s="8"/>
    </row>
    <row r="28" spans="2:10" x14ac:dyDescent="0.25">
      <c r="B28" s="257" t="s">
        <v>351</v>
      </c>
      <c r="C28" s="258"/>
      <c r="D28" s="209"/>
      <c r="E28" s="202"/>
      <c r="F28" s="221" t="s">
        <v>203</v>
      </c>
      <c r="G28" s="222"/>
      <c r="H28" s="8"/>
      <c r="I28" s="8"/>
      <c r="J28" s="8"/>
    </row>
    <row r="29" spans="2:10" x14ac:dyDescent="0.25">
      <c r="B29" s="231"/>
      <c r="C29" s="6"/>
      <c r="D29" s="232"/>
      <c r="E29" s="8"/>
      <c r="F29" s="9"/>
      <c r="G29" s="6"/>
      <c r="H29" s="8"/>
      <c r="I29" s="8"/>
      <c r="J29" s="8"/>
    </row>
    <row r="30" spans="2:10" x14ac:dyDescent="0.25">
      <c r="B30" s="7" t="s">
        <v>435</v>
      </c>
      <c r="C30" s="144"/>
      <c r="D30" s="232"/>
      <c r="E30" s="6"/>
      <c r="F30" s="9" t="s">
        <v>295</v>
      </c>
      <c r="G30" s="6"/>
      <c r="H30" s="8"/>
      <c r="I30" s="8"/>
      <c r="J30" s="8"/>
    </row>
    <row r="31" spans="2:10" x14ac:dyDescent="0.25">
      <c r="B31" s="235" t="s">
        <v>436</v>
      </c>
      <c r="C31" s="236"/>
      <c r="D31" s="210"/>
      <c r="E31" s="203"/>
      <c r="F31" s="221" t="s">
        <v>203</v>
      </c>
      <c r="G31" s="222"/>
      <c r="H31" s="8"/>
      <c r="I31" s="8"/>
      <c r="J31" s="8"/>
    </row>
    <row r="32" spans="2:10" x14ac:dyDescent="0.25">
      <c r="B32" s="227" t="s">
        <v>437</v>
      </c>
      <c r="C32" s="228"/>
      <c r="D32" s="211"/>
      <c r="E32" s="204"/>
      <c r="F32" s="221" t="s">
        <v>203</v>
      </c>
      <c r="G32" s="222"/>
      <c r="H32" s="8"/>
      <c r="I32" s="8"/>
      <c r="J32" s="8"/>
    </row>
    <row r="33" spans="2:10" x14ac:dyDescent="0.25">
      <c r="B33" s="227" t="s">
        <v>438</v>
      </c>
      <c r="C33" s="228"/>
      <c r="D33" s="211"/>
      <c r="E33" s="204"/>
      <c r="F33" s="221" t="s">
        <v>203</v>
      </c>
      <c r="G33" s="222"/>
      <c r="H33" s="8"/>
      <c r="I33" s="8"/>
      <c r="J33" s="8"/>
    </row>
    <row r="34" spans="2:10" x14ac:dyDescent="0.25">
      <c r="B34" s="231"/>
      <c r="C34" s="6"/>
      <c r="D34" s="232"/>
      <c r="E34" s="8"/>
      <c r="F34" s="9"/>
      <c r="G34" s="6"/>
      <c r="H34" s="8"/>
      <c r="I34" s="8"/>
      <c r="J34" s="8"/>
    </row>
    <row r="35" spans="2:10" x14ac:dyDescent="0.25">
      <c r="B35" s="246" t="s">
        <v>355</v>
      </c>
      <c r="C35" s="247"/>
      <c r="D35" s="210"/>
      <c r="E35" s="203"/>
      <c r="F35" s="221" t="s">
        <v>203</v>
      </c>
      <c r="G35" s="222"/>
      <c r="H35" s="8"/>
      <c r="I35" s="8"/>
      <c r="J35" s="8"/>
    </row>
    <row r="36" spans="2:10" x14ac:dyDescent="0.25">
      <c r="B36" s="231"/>
      <c r="C36" s="6"/>
      <c r="D36" s="232"/>
      <c r="E36" s="8"/>
      <c r="F36" s="9"/>
      <c r="G36" s="6"/>
      <c r="H36" s="8"/>
      <c r="I36" s="8"/>
      <c r="J36" s="8"/>
    </row>
    <row r="37" spans="2:10" x14ac:dyDescent="0.25">
      <c r="B37" s="242" t="s">
        <v>326</v>
      </c>
      <c r="C37" s="243"/>
      <c r="D37" s="210"/>
      <c r="E37" s="203"/>
      <c r="F37" s="221" t="s">
        <v>203</v>
      </c>
      <c r="G37" s="222"/>
      <c r="H37" s="8"/>
      <c r="I37" s="8"/>
      <c r="J37" s="8"/>
    </row>
    <row r="38" spans="2:10" ht="25.2" customHeight="1" x14ac:dyDescent="0.25">
      <c r="B38" s="241" t="s">
        <v>521</v>
      </c>
      <c r="C38" s="22"/>
      <c r="D38" s="234"/>
      <c r="E38" s="206"/>
      <c r="F38" s="314" t="str">
        <f>IF(E37=0,"",(IF(E38="ja","Toetsing minerale olie wordt uitgevoerd obv H-zinnen",IF(EURAL!H45&gt;=EURAL!K45,"Vul gehalten individuele PAK-componenten in, toetsing wordt uitgevoerd op individuele PAK","Geen gevaarlijk afval"))))</f>
        <v/>
      </c>
      <c r="G38" s="222"/>
      <c r="H38" s="8"/>
      <c r="I38" s="8"/>
      <c r="J38" s="8"/>
    </row>
    <row r="39" spans="2:10" x14ac:dyDescent="0.25">
      <c r="B39" s="233"/>
      <c r="C39" s="22"/>
      <c r="D39" s="234"/>
      <c r="E39" s="8"/>
      <c r="F39" s="221"/>
      <c r="G39" s="222"/>
      <c r="H39" s="8"/>
      <c r="I39" s="8"/>
      <c r="J39" s="8"/>
    </row>
    <row r="40" spans="2:10" x14ac:dyDescent="0.25">
      <c r="B40" s="244" t="s">
        <v>329</v>
      </c>
      <c r="C40" s="245"/>
      <c r="D40" s="234"/>
      <c r="E40" s="8"/>
      <c r="F40" s="9"/>
      <c r="G40" s="6"/>
      <c r="H40" s="8"/>
      <c r="I40" s="8"/>
      <c r="J40" s="8"/>
    </row>
    <row r="41" spans="2:10" x14ac:dyDescent="0.25">
      <c r="B41" s="235" t="s">
        <v>330</v>
      </c>
      <c r="C41" s="236"/>
      <c r="D41" s="210"/>
      <c r="E41" s="203"/>
      <c r="F41" s="221" t="s">
        <v>203</v>
      </c>
      <c r="G41" s="222"/>
      <c r="H41" s="8"/>
      <c r="I41" s="8"/>
      <c r="J41" s="8"/>
    </row>
    <row r="42" spans="2:10" x14ac:dyDescent="0.25">
      <c r="B42" s="239" t="s">
        <v>332</v>
      </c>
      <c r="C42" s="240"/>
      <c r="D42" s="211"/>
      <c r="E42" s="204"/>
      <c r="F42" s="221" t="s">
        <v>203</v>
      </c>
      <c r="G42" s="222"/>
      <c r="H42" s="8"/>
      <c r="I42" s="8"/>
      <c r="J42" s="8"/>
    </row>
    <row r="43" spans="2:10" x14ac:dyDescent="0.25">
      <c r="B43" s="239" t="s">
        <v>331</v>
      </c>
      <c r="C43" s="240"/>
      <c r="D43" s="211"/>
      <c r="E43" s="204"/>
      <c r="F43" s="221" t="s">
        <v>203</v>
      </c>
      <c r="G43" s="222"/>
      <c r="H43" s="8"/>
      <c r="I43" s="8"/>
      <c r="J43" s="8"/>
    </row>
    <row r="44" spans="2:10" x14ac:dyDescent="0.25">
      <c r="B44" s="239" t="s">
        <v>333</v>
      </c>
      <c r="C44" s="240"/>
      <c r="D44" s="211"/>
      <c r="E44" s="204"/>
      <c r="F44" s="221" t="s">
        <v>203</v>
      </c>
      <c r="G44" s="222"/>
      <c r="H44" s="8"/>
      <c r="I44" s="8"/>
      <c r="J44" s="8"/>
    </row>
    <row r="45" spans="2:10" x14ac:dyDescent="0.25">
      <c r="B45" s="239" t="s">
        <v>459</v>
      </c>
      <c r="C45" s="240"/>
      <c r="D45" s="211"/>
      <c r="E45" s="204"/>
      <c r="F45" s="221" t="s">
        <v>203</v>
      </c>
      <c r="G45" s="222"/>
      <c r="H45" s="8"/>
      <c r="I45" s="8"/>
      <c r="J45" s="8"/>
    </row>
    <row r="46" spans="2:10" x14ac:dyDescent="0.25">
      <c r="B46" s="239" t="s">
        <v>335</v>
      </c>
      <c r="C46" s="240"/>
      <c r="D46" s="211"/>
      <c r="E46" s="204"/>
      <c r="F46" s="221" t="s">
        <v>203</v>
      </c>
      <c r="G46" s="222"/>
      <c r="H46" s="8"/>
      <c r="I46" s="8"/>
      <c r="J46" s="8"/>
    </row>
    <row r="47" spans="2:10" x14ac:dyDescent="0.25">
      <c r="B47" s="239" t="s">
        <v>336</v>
      </c>
      <c r="C47" s="240"/>
      <c r="D47" s="211"/>
      <c r="E47" s="204"/>
      <c r="F47" s="221" t="s">
        <v>203</v>
      </c>
      <c r="G47" s="222"/>
      <c r="H47" s="8"/>
      <c r="I47" s="8"/>
      <c r="J47" s="8"/>
    </row>
    <row r="48" spans="2:10" x14ac:dyDescent="0.25">
      <c r="B48" s="239" t="s">
        <v>327</v>
      </c>
      <c r="C48" s="240"/>
      <c r="D48" s="211"/>
      <c r="E48" s="204"/>
      <c r="F48" s="221" t="s">
        <v>203</v>
      </c>
      <c r="G48" s="222"/>
      <c r="H48" s="8"/>
      <c r="I48" s="8"/>
      <c r="J48" s="8"/>
    </row>
    <row r="49" spans="2:10" x14ac:dyDescent="0.25">
      <c r="B49" s="239" t="s">
        <v>337</v>
      </c>
      <c r="C49" s="240"/>
      <c r="D49" s="211"/>
      <c r="E49" s="204"/>
      <c r="F49" s="221" t="s">
        <v>203</v>
      </c>
      <c r="G49" s="222"/>
      <c r="H49" s="8"/>
      <c r="I49" s="8"/>
      <c r="J49" s="8"/>
    </row>
    <row r="50" spans="2:10" x14ac:dyDescent="0.25">
      <c r="B50" s="239" t="s">
        <v>338</v>
      </c>
      <c r="C50" s="240"/>
      <c r="D50" s="211"/>
      <c r="E50" s="204"/>
      <c r="F50" s="221" t="s">
        <v>203</v>
      </c>
      <c r="G50" s="222"/>
      <c r="H50" s="8"/>
      <c r="I50" s="8"/>
      <c r="J50" s="8"/>
    </row>
    <row r="51" spans="2:10" x14ac:dyDescent="0.25">
      <c r="B51" s="239" t="s">
        <v>434</v>
      </c>
      <c r="C51" s="240"/>
      <c r="D51" s="211"/>
      <c r="E51" s="204"/>
      <c r="F51" s="221" t="s">
        <v>203</v>
      </c>
      <c r="G51" s="222"/>
      <c r="H51" s="8"/>
      <c r="I51" s="8"/>
      <c r="J51" s="8"/>
    </row>
    <row r="52" spans="2:10" x14ac:dyDescent="0.25">
      <c r="B52" s="231"/>
      <c r="C52" s="6"/>
      <c r="D52" s="232"/>
      <c r="E52" s="6"/>
      <c r="F52" s="9"/>
      <c r="G52" s="6"/>
      <c r="H52" s="8"/>
      <c r="I52" s="8"/>
      <c r="J52" s="8"/>
    </row>
    <row r="53" spans="2:10" x14ac:dyDescent="0.25">
      <c r="B53" s="233" t="s">
        <v>447</v>
      </c>
      <c r="C53" s="22"/>
      <c r="D53" s="234"/>
      <c r="E53" s="8"/>
      <c r="F53" s="221"/>
      <c r="G53" s="222"/>
      <c r="H53" s="8"/>
      <c r="I53" s="8"/>
      <c r="J53" s="8"/>
    </row>
    <row r="54" spans="2:10" x14ac:dyDescent="0.25">
      <c r="B54" s="235" t="s">
        <v>439</v>
      </c>
      <c r="C54" s="236"/>
      <c r="D54" s="210"/>
      <c r="E54" s="203"/>
      <c r="F54" s="221" t="s">
        <v>203</v>
      </c>
      <c r="G54" s="222"/>
      <c r="H54" s="8"/>
      <c r="I54" s="8"/>
      <c r="J54" s="8"/>
    </row>
    <row r="55" spans="2:10" x14ac:dyDescent="0.25">
      <c r="B55" s="239" t="s">
        <v>440</v>
      </c>
      <c r="C55" s="240"/>
      <c r="D55" s="211"/>
      <c r="E55" s="204"/>
      <c r="F55" s="221" t="s">
        <v>203</v>
      </c>
      <c r="G55" s="222"/>
      <c r="H55" s="8"/>
      <c r="I55" s="8"/>
      <c r="J55" s="8"/>
    </row>
    <row r="56" spans="2:10" x14ac:dyDescent="0.25">
      <c r="B56" s="239" t="s">
        <v>441</v>
      </c>
      <c r="C56" s="240"/>
      <c r="D56" s="211"/>
      <c r="E56" s="204"/>
      <c r="F56" s="221" t="s">
        <v>203</v>
      </c>
      <c r="G56" s="222"/>
      <c r="H56" s="8"/>
      <c r="I56" s="8"/>
      <c r="J56" s="8"/>
    </row>
    <row r="57" spans="2:10" x14ac:dyDescent="0.25">
      <c r="B57" s="239" t="s">
        <v>442</v>
      </c>
      <c r="C57" s="240"/>
      <c r="D57" s="211"/>
      <c r="E57" s="204"/>
      <c r="F57" s="221" t="s">
        <v>203</v>
      </c>
      <c r="G57" s="222"/>
      <c r="H57" s="8"/>
      <c r="I57" s="8"/>
      <c r="J57" s="8"/>
    </row>
    <row r="58" spans="2:10" x14ac:dyDescent="0.25">
      <c r="B58" s="239" t="s">
        <v>443</v>
      </c>
      <c r="C58" s="240"/>
      <c r="D58" s="211"/>
      <c r="E58" s="204"/>
      <c r="F58" s="221" t="s">
        <v>203</v>
      </c>
      <c r="G58" s="222"/>
      <c r="H58" s="8"/>
      <c r="I58" s="8"/>
      <c r="J58" s="8"/>
    </row>
    <row r="59" spans="2:10" x14ac:dyDescent="0.25">
      <c r="B59" s="239" t="s">
        <v>444</v>
      </c>
      <c r="C59" s="240"/>
      <c r="D59" s="211"/>
      <c r="E59" s="204"/>
      <c r="F59" s="221" t="s">
        <v>203</v>
      </c>
      <c r="G59" s="222"/>
      <c r="H59" s="8"/>
      <c r="I59" s="8"/>
      <c r="J59" s="8"/>
    </row>
    <row r="60" spans="2:10" x14ac:dyDescent="0.25">
      <c r="B60" s="239" t="s">
        <v>445</v>
      </c>
      <c r="C60" s="240"/>
      <c r="D60" s="211"/>
      <c r="E60" s="204"/>
      <c r="F60" s="221" t="s">
        <v>203</v>
      </c>
      <c r="G60" s="222"/>
      <c r="H60" s="8"/>
      <c r="I60" s="8"/>
      <c r="J60" s="8"/>
    </row>
    <row r="61" spans="2:10" x14ac:dyDescent="0.25">
      <c r="B61" s="227" t="s">
        <v>446</v>
      </c>
      <c r="C61" s="228"/>
      <c r="D61" s="211"/>
      <c r="E61" s="204"/>
      <c r="F61" s="221" t="s">
        <v>203</v>
      </c>
      <c r="G61" s="222"/>
      <c r="H61" s="8"/>
      <c r="I61" s="8"/>
      <c r="J61" s="8"/>
    </row>
    <row r="62" spans="2:10" x14ac:dyDescent="0.25">
      <c r="B62" s="227" t="s">
        <v>448</v>
      </c>
      <c r="C62" s="228"/>
      <c r="D62" s="211"/>
      <c r="E62" s="204"/>
      <c r="F62" s="221" t="s">
        <v>203</v>
      </c>
      <c r="G62" s="222"/>
      <c r="H62" s="8"/>
      <c r="I62" s="8"/>
      <c r="J62" s="8"/>
    </row>
    <row r="63" spans="2:10" x14ac:dyDescent="0.25">
      <c r="B63" s="227" t="s">
        <v>316</v>
      </c>
      <c r="C63" s="228"/>
      <c r="D63" s="211"/>
      <c r="E63" s="204"/>
      <c r="F63" s="221" t="s">
        <v>203</v>
      </c>
      <c r="G63" s="222"/>
      <c r="H63" s="8"/>
      <c r="I63" s="8"/>
      <c r="J63" s="8"/>
    </row>
    <row r="64" spans="2:10" x14ac:dyDescent="0.25">
      <c r="B64" s="227" t="s">
        <v>449</v>
      </c>
      <c r="C64" s="228"/>
      <c r="D64" s="211"/>
      <c r="E64" s="204"/>
      <c r="F64" s="221" t="s">
        <v>203</v>
      </c>
      <c r="G64" s="222"/>
      <c r="H64" s="8"/>
      <c r="I64" s="8"/>
      <c r="J64" s="8"/>
    </row>
    <row r="65" spans="2:10" x14ac:dyDescent="0.25">
      <c r="B65" s="227" t="s">
        <v>321</v>
      </c>
      <c r="C65" s="228"/>
      <c r="D65" s="211"/>
      <c r="E65" s="204"/>
      <c r="F65" s="221" t="s">
        <v>203</v>
      </c>
      <c r="G65" s="222"/>
      <c r="H65" s="8"/>
      <c r="I65" s="8"/>
      <c r="J65" s="8"/>
    </row>
    <row r="66" spans="2:10" x14ac:dyDescent="0.25">
      <c r="B66" s="231"/>
      <c r="C66" s="6"/>
      <c r="D66" s="232"/>
      <c r="E66" s="6"/>
      <c r="F66" s="221"/>
      <c r="G66" s="222"/>
      <c r="H66" s="8"/>
      <c r="I66" s="8"/>
      <c r="J66" s="8"/>
    </row>
    <row r="67" spans="2:10" x14ac:dyDescent="0.25">
      <c r="B67" s="7" t="s">
        <v>528</v>
      </c>
      <c r="C67" s="144"/>
      <c r="D67" s="232"/>
      <c r="E67" s="222"/>
      <c r="F67" s="221"/>
      <c r="G67" s="222"/>
      <c r="H67" s="8"/>
      <c r="I67" s="8"/>
      <c r="J67" s="8"/>
    </row>
    <row r="68" spans="2:10" x14ac:dyDescent="0.25">
      <c r="B68" s="227" t="s">
        <v>450</v>
      </c>
      <c r="C68" s="228"/>
      <c r="D68" s="211"/>
      <c r="E68" s="204"/>
      <c r="F68" s="221" t="s">
        <v>203</v>
      </c>
      <c r="G68" s="222"/>
      <c r="H68" s="8"/>
      <c r="I68" s="8"/>
      <c r="J68" s="8"/>
    </row>
    <row r="69" spans="2:10" x14ac:dyDescent="0.25">
      <c r="B69" s="227" t="s">
        <v>451</v>
      </c>
      <c r="C69" s="228"/>
      <c r="D69" s="211"/>
      <c r="E69" s="204"/>
      <c r="F69" s="221" t="s">
        <v>203</v>
      </c>
      <c r="G69" s="222"/>
      <c r="H69" s="8"/>
      <c r="I69" s="8"/>
      <c r="J69" s="8"/>
    </row>
    <row r="70" spans="2:10" x14ac:dyDescent="0.25">
      <c r="B70" s="227" t="s">
        <v>452</v>
      </c>
      <c r="C70" s="228"/>
      <c r="D70" s="211"/>
      <c r="E70" s="204"/>
      <c r="F70" s="221" t="s">
        <v>203</v>
      </c>
      <c r="G70" s="222"/>
      <c r="H70" s="8"/>
      <c r="I70" s="8"/>
      <c r="J70" s="8"/>
    </row>
    <row r="71" spans="2:10" x14ac:dyDescent="0.25">
      <c r="B71" s="227" t="s">
        <v>453</v>
      </c>
      <c r="C71" s="228"/>
      <c r="D71" s="211"/>
      <c r="E71" s="204"/>
      <c r="F71" s="221" t="s">
        <v>203</v>
      </c>
      <c r="G71" s="222"/>
      <c r="H71" s="8"/>
      <c r="I71" s="8"/>
      <c r="J71" s="8"/>
    </row>
    <row r="72" spans="2:10" x14ac:dyDescent="0.25">
      <c r="B72" s="227" t="s">
        <v>313</v>
      </c>
      <c r="C72" s="228"/>
      <c r="D72" s="211"/>
      <c r="E72" s="204"/>
      <c r="F72" s="221" t="s">
        <v>203</v>
      </c>
      <c r="G72" s="222"/>
      <c r="H72" s="8"/>
      <c r="I72" s="8"/>
      <c r="J72" s="8"/>
    </row>
    <row r="73" spans="2:10" x14ac:dyDescent="0.25">
      <c r="B73" s="227" t="s">
        <v>312</v>
      </c>
      <c r="C73" s="228"/>
      <c r="D73" s="211"/>
      <c r="E73" s="204"/>
      <c r="F73" s="221" t="s">
        <v>203</v>
      </c>
      <c r="G73" s="222"/>
      <c r="H73" s="8"/>
      <c r="I73" s="8"/>
      <c r="J73" s="8"/>
    </row>
    <row r="74" spans="2:10" x14ac:dyDescent="0.25">
      <c r="B74" s="239" t="s">
        <v>416</v>
      </c>
      <c r="C74" s="240"/>
      <c r="D74" s="211"/>
      <c r="E74" s="204"/>
      <c r="F74" s="221" t="s">
        <v>203</v>
      </c>
      <c r="G74" s="222"/>
      <c r="H74" s="8"/>
      <c r="I74" s="8"/>
      <c r="J74" s="8"/>
    </row>
    <row r="75" spans="2:10" x14ac:dyDescent="0.25">
      <c r="B75" s="227" t="s">
        <v>298</v>
      </c>
      <c r="C75" s="228"/>
      <c r="D75" s="211"/>
      <c r="E75" s="204"/>
      <c r="F75" s="221" t="s">
        <v>203</v>
      </c>
      <c r="G75" s="222"/>
      <c r="H75" s="8"/>
      <c r="I75" s="8"/>
      <c r="J75" s="8"/>
    </row>
    <row r="76" spans="2:10" x14ac:dyDescent="0.25">
      <c r="B76" s="227" t="s">
        <v>315</v>
      </c>
      <c r="C76" s="228"/>
      <c r="D76" s="211"/>
      <c r="E76" s="204"/>
      <c r="F76" s="221" t="s">
        <v>203</v>
      </c>
      <c r="G76" s="222"/>
      <c r="H76" s="8"/>
      <c r="I76" s="8"/>
      <c r="J76" s="8"/>
    </row>
    <row r="77" spans="2:10" x14ac:dyDescent="0.25">
      <c r="B77" s="227" t="s">
        <v>310</v>
      </c>
      <c r="C77" s="228"/>
      <c r="D77" s="211"/>
      <c r="E77" s="204"/>
      <c r="F77" s="221" t="s">
        <v>203</v>
      </c>
      <c r="G77" s="222"/>
      <c r="H77" s="8"/>
      <c r="I77" s="8"/>
      <c r="J77" s="8"/>
    </row>
    <row r="78" spans="2:10" x14ac:dyDescent="0.25">
      <c r="B78" s="227" t="s">
        <v>311</v>
      </c>
      <c r="C78" s="228"/>
      <c r="D78" s="211"/>
      <c r="E78" s="204"/>
      <c r="F78" s="221" t="s">
        <v>203</v>
      </c>
      <c r="G78" s="222"/>
      <c r="H78" s="8"/>
      <c r="I78" s="8"/>
      <c r="J78" s="8"/>
    </row>
    <row r="79" spans="2:10" x14ac:dyDescent="0.25">
      <c r="B79" s="239" t="s">
        <v>409</v>
      </c>
      <c r="C79" s="240"/>
      <c r="D79" s="211"/>
      <c r="E79" s="204"/>
      <c r="F79" s="221" t="s">
        <v>203</v>
      </c>
      <c r="G79" s="222"/>
      <c r="H79" s="8"/>
      <c r="I79" s="8"/>
      <c r="J79" s="8"/>
    </row>
    <row r="80" spans="2:10" x14ac:dyDescent="0.25">
      <c r="B80" s="239" t="s">
        <v>412</v>
      </c>
      <c r="C80" s="240"/>
      <c r="D80" s="211"/>
      <c r="E80" s="204"/>
      <c r="F80" s="221" t="s">
        <v>203</v>
      </c>
      <c r="G80" s="222"/>
      <c r="H80" s="8"/>
      <c r="I80" s="8"/>
      <c r="J80" s="8"/>
    </row>
    <row r="81" spans="2:10" x14ac:dyDescent="0.25">
      <c r="B81" s="227" t="s">
        <v>424</v>
      </c>
      <c r="C81" s="228"/>
      <c r="D81" s="211"/>
      <c r="E81" s="204"/>
      <c r="F81" s="221" t="s">
        <v>203</v>
      </c>
      <c r="G81" s="222"/>
      <c r="H81" s="8"/>
      <c r="I81" s="8"/>
      <c r="J81" s="8"/>
    </row>
    <row r="82" spans="2:10" x14ac:dyDescent="0.25">
      <c r="B82" s="227" t="s">
        <v>455</v>
      </c>
      <c r="C82" s="228"/>
      <c r="D82" s="211"/>
      <c r="E82" s="204"/>
      <c r="F82" s="221" t="s">
        <v>203</v>
      </c>
      <c r="G82" s="222"/>
      <c r="H82" s="8"/>
      <c r="I82" s="8"/>
      <c r="J82" s="8"/>
    </row>
    <row r="83" spans="2:10" x14ac:dyDescent="0.25">
      <c r="B83" s="237" t="s">
        <v>418</v>
      </c>
      <c r="C83" s="238"/>
      <c r="D83" s="210"/>
      <c r="E83" s="203"/>
      <c r="F83" s="221" t="s">
        <v>203</v>
      </c>
      <c r="G83" s="222"/>
      <c r="H83" s="8"/>
      <c r="I83" s="8"/>
      <c r="J83" s="8"/>
    </row>
    <row r="84" spans="2:10" x14ac:dyDescent="0.25">
      <c r="B84" s="227" t="s">
        <v>309</v>
      </c>
      <c r="C84" s="228"/>
      <c r="D84" s="211"/>
      <c r="E84" s="204"/>
      <c r="F84" s="221" t="s">
        <v>203</v>
      </c>
      <c r="G84" s="222"/>
      <c r="H84" s="8"/>
      <c r="I84" s="8"/>
      <c r="J84" s="8"/>
    </row>
    <row r="85" spans="2:10" x14ac:dyDescent="0.25">
      <c r="B85" s="239" t="s">
        <v>421</v>
      </c>
      <c r="C85" s="240"/>
      <c r="D85" s="211"/>
      <c r="E85" s="204"/>
      <c r="F85" s="221" t="s">
        <v>203</v>
      </c>
      <c r="G85" s="222"/>
      <c r="H85" s="8"/>
      <c r="I85" s="8"/>
      <c r="J85" s="8"/>
    </row>
    <row r="86" spans="2:10" x14ac:dyDescent="0.25">
      <c r="B86" s="239" t="s">
        <v>420</v>
      </c>
      <c r="C86" s="240"/>
      <c r="D86" s="211"/>
      <c r="E86" s="204"/>
      <c r="F86" s="221" t="s">
        <v>203</v>
      </c>
      <c r="G86" s="222"/>
      <c r="H86" s="8"/>
      <c r="I86" s="8"/>
      <c r="J86" s="8"/>
    </row>
    <row r="87" spans="2:10" x14ac:dyDescent="0.25">
      <c r="B87" s="227" t="s">
        <v>419</v>
      </c>
      <c r="C87" s="228"/>
      <c r="D87" s="211"/>
      <c r="E87" s="204"/>
      <c r="F87" s="221" t="s">
        <v>203</v>
      </c>
      <c r="G87" s="222"/>
      <c r="H87" s="8"/>
      <c r="I87" s="8"/>
      <c r="J87" s="8"/>
    </row>
    <row r="88" spans="2:10" x14ac:dyDescent="0.25">
      <c r="B88" s="227" t="s">
        <v>433</v>
      </c>
      <c r="C88" s="228"/>
      <c r="D88" s="211"/>
      <c r="E88" s="204"/>
      <c r="F88" s="221" t="s">
        <v>203</v>
      </c>
      <c r="G88" s="222"/>
      <c r="H88" s="8"/>
      <c r="I88" s="8"/>
      <c r="J88" s="8"/>
    </row>
    <row r="89" spans="2:10" x14ac:dyDescent="0.25">
      <c r="B89" s="239" t="s">
        <v>432</v>
      </c>
      <c r="C89" s="240"/>
      <c r="D89" s="211"/>
      <c r="E89" s="204"/>
      <c r="F89" s="221" t="s">
        <v>203</v>
      </c>
      <c r="G89" s="222"/>
      <c r="H89" s="8"/>
      <c r="I89" s="8"/>
      <c r="J89" s="8"/>
    </row>
    <row r="90" spans="2:10" x14ac:dyDescent="0.25">
      <c r="B90" s="227" t="s">
        <v>465</v>
      </c>
      <c r="C90" s="228"/>
      <c r="D90" s="211"/>
      <c r="E90" s="204"/>
      <c r="F90" s="221" t="s">
        <v>203</v>
      </c>
      <c r="G90" s="222"/>
      <c r="H90" s="8"/>
      <c r="I90" s="8"/>
      <c r="J90" s="8"/>
    </row>
    <row r="91" spans="2:10" x14ac:dyDescent="0.25">
      <c r="B91" s="231"/>
      <c r="C91" s="6"/>
      <c r="D91" s="232"/>
      <c r="E91" s="6"/>
      <c r="F91" s="221"/>
      <c r="G91" s="222"/>
      <c r="H91" s="8"/>
      <c r="I91" s="8"/>
      <c r="J91" s="8"/>
    </row>
    <row r="92" spans="2:10" x14ac:dyDescent="0.25">
      <c r="B92" s="7" t="s">
        <v>456</v>
      </c>
      <c r="C92" s="144"/>
      <c r="D92" s="232"/>
      <c r="E92" s="6"/>
      <c r="F92" s="221"/>
      <c r="G92" s="222"/>
      <c r="H92" s="8"/>
      <c r="I92" s="8"/>
      <c r="J92" s="8"/>
    </row>
    <row r="93" spans="2:10" x14ac:dyDescent="0.25">
      <c r="B93" s="237" t="s">
        <v>457</v>
      </c>
      <c r="C93" s="238"/>
      <c r="D93" s="210"/>
      <c r="E93" s="203"/>
      <c r="F93" s="221" t="s">
        <v>203</v>
      </c>
      <c r="G93" s="222"/>
      <c r="H93" s="8"/>
      <c r="I93" s="8"/>
      <c r="J93" s="8"/>
    </row>
    <row r="94" spans="2:10" x14ac:dyDescent="0.25">
      <c r="B94" s="239" t="s">
        <v>358</v>
      </c>
      <c r="C94" s="240"/>
      <c r="D94" s="211"/>
      <c r="E94" s="204"/>
      <c r="F94" s="221" t="s">
        <v>203</v>
      </c>
      <c r="G94" s="222"/>
      <c r="H94" s="8"/>
      <c r="I94" s="8"/>
      <c r="J94" s="8"/>
    </row>
    <row r="95" spans="2:10" x14ac:dyDescent="0.25">
      <c r="B95" s="231"/>
      <c r="C95" s="6"/>
      <c r="D95" s="232"/>
      <c r="E95" s="6"/>
      <c r="F95" s="221"/>
      <c r="G95" s="222"/>
      <c r="H95" s="8"/>
      <c r="I95" s="8"/>
      <c r="J95" s="8"/>
    </row>
    <row r="96" spans="2:10" x14ac:dyDescent="0.25">
      <c r="B96" s="233" t="s">
        <v>417</v>
      </c>
      <c r="C96" s="22"/>
      <c r="D96" s="234"/>
      <c r="E96" s="8"/>
      <c r="F96" s="9"/>
      <c r="G96" s="6"/>
      <c r="H96" s="8"/>
      <c r="I96" s="8"/>
      <c r="J96" s="8"/>
    </row>
    <row r="97" spans="2:10" x14ac:dyDescent="0.25">
      <c r="B97" s="235" t="s">
        <v>297</v>
      </c>
      <c r="C97" s="236"/>
      <c r="D97" s="210"/>
      <c r="E97" s="203"/>
      <c r="F97" s="221" t="s">
        <v>203</v>
      </c>
      <c r="G97" s="222"/>
      <c r="H97" s="8"/>
      <c r="I97" s="8"/>
      <c r="J97" s="8"/>
    </row>
    <row r="98" spans="2:10" x14ac:dyDescent="0.25">
      <c r="B98" s="227" t="s">
        <v>297</v>
      </c>
      <c r="C98" s="228"/>
      <c r="D98" s="211"/>
      <c r="E98" s="204"/>
      <c r="F98" s="221" t="s">
        <v>203</v>
      </c>
      <c r="G98" s="222"/>
      <c r="H98" s="8"/>
      <c r="I98" s="8"/>
      <c r="J98" s="8"/>
    </row>
    <row r="99" spans="2:10" x14ac:dyDescent="0.25">
      <c r="B99" s="227" t="s">
        <v>299</v>
      </c>
      <c r="C99" s="228"/>
      <c r="D99" s="211"/>
      <c r="E99" s="204"/>
      <c r="F99" s="221" t="s">
        <v>203</v>
      </c>
      <c r="G99" s="222"/>
      <c r="H99" s="8"/>
      <c r="I99" s="8"/>
      <c r="J99" s="8"/>
    </row>
    <row r="100" spans="2:10" x14ac:dyDescent="0.25">
      <c r="B100" s="227" t="s">
        <v>300</v>
      </c>
      <c r="C100" s="228"/>
      <c r="D100" s="211"/>
      <c r="E100" s="204"/>
      <c r="F100" s="221" t="s">
        <v>203</v>
      </c>
      <c r="G100" s="222"/>
      <c r="H100" s="8"/>
      <c r="I100" s="8"/>
      <c r="J100" s="8"/>
    </row>
    <row r="101" spans="2:10" x14ac:dyDescent="0.25">
      <c r="B101" s="227" t="s">
        <v>301</v>
      </c>
      <c r="C101" s="228"/>
      <c r="D101" s="211"/>
      <c r="E101" s="204"/>
      <c r="F101" s="221" t="s">
        <v>203</v>
      </c>
      <c r="G101" s="222"/>
      <c r="H101" s="8"/>
      <c r="I101" s="8"/>
      <c r="J101" s="8"/>
    </row>
    <row r="102" spans="2:10" x14ac:dyDescent="0.25">
      <c r="B102" s="227" t="s">
        <v>302</v>
      </c>
      <c r="C102" s="228"/>
      <c r="D102" s="211"/>
      <c r="E102" s="204"/>
      <c r="F102" s="221" t="s">
        <v>203</v>
      </c>
      <c r="G102" s="222"/>
      <c r="H102" s="8"/>
      <c r="I102" s="8"/>
      <c r="J102" s="8"/>
    </row>
    <row r="103" spans="2:10" x14ac:dyDescent="0.25">
      <c r="B103" s="227" t="s">
        <v>303</v>
      </c>
      <c r="C103" s="228"/>
      <c r="D103" s="211"/>
      <c r="E103" s="204"/>
      <c r="F103" s="221" t="s">
        <v>203</v>
      </c>
      <c r="G103" s="222"/>
      <c r="H103" s="8"/>
      <c r="I103" s="8"/>
      <c r="J103" s="8"/>
    </row>
    <row r="104" spans="2:10" x14ac:dyDescent="0.25">
      <c r="B104" s="227" t="s">
        <v>304</v>
      </c>
      <c r="C104" s="228"/>
      <c r="D104" s="211"/>
      <c r="E104" s="204"/>
      <c r="F104" s="221" t="s">
        <v>203</v>
      </c>
      <c r="G104" s="222"/>
      <c r="H104" s="8"/>
      <c r="I104" s="8"/>
      <c r="J104" s="8"/>
    </row>
    <row r="105" spans="2:10" x14ac:dyDescent="0.25">
      <c r="B105" s="227" t="s">
        <v>306</v>
      </c>
      <c r="C105" s="228"/>
      <c r="D105" s="211"/>
      <c r="E105" s="204"/>
      <c r="F105" s="221" t="s">
        <v>203</v>
      </c>
      <c r="G105" s="222"/>
      <c r="H105" s="8"/>
      <c r="I105" s="8"/>
      <c r="J105" s="8"/>
    </row>
    <row r="106" spans="2:10" x14ac:dyDescent="0.25">
      <c r="B106" s="227" t="s">
        <v>308</v>
      </c>
      <c r="C106" s="228"/>
      <c r="D106" s="211"/>
      <c r="E106" s="204"/>
      <c r="F106" s="221" t="s">
        <v>400</v>
      </c>
      <c r="G106" s="222"/>
      <c r="H106" s="8"/>
      <c r="I106" s="8"/>
      <c r="J106" s="8"/>
    </row>
    <row r="107" spans="2:10" x14ac:dyDescent="0.25">
      <c r="B107" s="227" t="s">
        <v>314</v>
      </c>
      <c r="C107" s="228"/>
      <c r="D107" s="211"/>
      <c r="E107" s="204"/>
      <c r="F107" s="221" t="s">
        <v>203</v>
      </c>
      <c r="G107" s="222"/>
      <c r="H107" s="8"/>
      <c r="I107" s="8"/>
      <c r="J107" s="8"/>
    </row>
    <row r="108" spans="2:10" x14ac:dyDescent="0.25">
      <c r="B108" s="227" t="s">
        <v>317</v>
      </c>
      <c r="C108" s="228"/>
      <c r="D108" s="211"/>
      <c r="E108" s="204"/>
      <c r="F108" s="221" t="s">
        <v>203</v>
      </c>
      <c r="G108" s="222"/>
      <c r="H108" s="8"/>
      <c r="I108" s="8"/>
      <c r="J108" s="8"/>
    </row>
    <row r="109" spans="2:10" x14ac:dyDescent="0.25">
      <c r="B109" s="227" t="s">
        <v>318</v>
      </c>
      <c r="C109" s="228"/>
      <c r="D109" s="211"/>
      <c r="E109" s="204"/>
      <c r="F109" s="221" t="s">
        <v>203</v>
      </c>
      <c r="G109" s="222"/>
      <c r="H109" s="8"/>
      <c r="I109" s="8"/>
      <c r="J109" s="8"/>
    </row>
    <row r="110" spans="2:10" x14ac:dyDescent="0.25">
      <c r="B110" s="227" t="s">
        <v>319</v>
      </c>
      <c r="C110" s="228"/>
      <c r="D110" s="211"/>
      <c r="E110" s="204"/>
      <c r="F110" s="221" t="s">
        <v>203</v>
      </c>
      <c r="G110" s="222"/>
      <c r="H110" s="8"/>
      <c r="I110" s="8"/>
      <c r="J110" s="8"/>
    </row>
    <row r="111" spans="2:10" x14ac:dyDescent="0.25">
      <c r="B111" s="227" t="s">
        <v>320</v>
      </c>
      <c r="C111" s="228"/>
      <c r="D111" s="211"/>
      <c r="E111" s="204"/>
      <c r="F111" s="221" t="s">
        <v>203</v>
      </c>
      <c r="G111" s="222"/>
      <c r="H111" s="8"/>
      <c r="I111" s="8"/>
      <c r="J111" s="8"/>
    </row>
    <row r="112" spans="2:10" x14ac:dyDescent="0.25">
      <c r="B112" s="227" t="s">
        <v>322</v>
      </c>
      <c r="C112" s="228"/>
      <c r="D112" s="211"/>
      <c r="E112" s="204"/>
      <c r="F112" s="221" t="s">
        <v>203</v>
      </c>
      <c r="G112" s="222"/>
      <c r="H112" s="8"/>
      <c r="I112" s="8"/>
      <c r="J112" s="8"/>
    </row>
    <row r="113" spans="2:10" x14ac:dyDescent="0.25">
      <c r="B113" s="231"/>
      <c r="C113" s="6"/>
      <c r="D113" s="232"/>
      <c r="E113" s="6"/>
      <c r="F113" s="9"/>
      <c r="G113" s="6"/>
      <c r="H113" s="8"/>
      <c r="I113" s="8"/>
      <c r="J113" s="8"/>
    </row>
    <row r="114" spans="2:10" x14ac:dyDescent="0.25">
      <c r="B114" s="233" t="s">
        <v>458</v>
      </c>
      <c r="C114" s="22"/>
      <c r="D114" s="234"/>
      <c r="E114" s="6"/>
      <c r="F114" s="9"/>
      <c r="G114" s="6"/>
      <c r="H114" s="8"/>
      <c r="I114" s="8"/>
      <c r="J114" s="8"/>
    </row>
    <row r="115" spans="2:10" x14ac:dyDescent="0.25">
      <c r="B115" s="223" t="s">
        <v>362</v>
      </c>
      <c r="C115" s="224"/>
      <c r="D115" s="210"/>
      <c r="E115" s="203"/>
      <c r="F115" s="221" t="s">
        <v>400</v>
      </c>
      <c r="G115" s="222"/>
      <c r="H115" s="8"/>
      <c r="I115" s="8"/>
      <c r="J115" s="8"/>
    </row>
    <row r="116" spans="2:10" x14ac:dyDescent="0.25">
      <c r="B116" s="225" t="s">
        <v>363</v>
      </c>
      <c r="C116" s="226"/>
      <c r="D116" s="211"/>
      <c r="E116" s="204"/>
      <c r="F116" s="221" t="s">
        <v>400</v>
      </c>
      <c r="G116" s="222"/>
      <c r="H116" s="8"/>
      <c r="I116" s="8"/>
      <c r="J116" s="8"/>
    </row>
    <row r="117" spans="2:10" x14ac:dyDescent="0.25">
      <c r="B117" s="225" t="s">
        <v>364</v>
      </c>
      <c r="C117" s="226"/>
      <c r="D117" s="211"/>
      <c r="E117" s="204"/>
      <c r="F117" s="221" t="s">
        <v>400</v>
      </c>
      <c r="G117" s="222"/>
      <c r="H117" s="8"/>
      <c r="I117" s="8"/>
      <c r="J117" s="8"/>
    </row>
    <row r="118" spans="2:10" x14ac:dyDescent="0.25">
      <c r="B118" s="225" t="s">
        <v>365</v>
      </c>
      <c r="C118" s="226"/>
      <c r="D118" s="211"/>
      <c r="E118" s="204"/>
      <c r="F118" s="221" t="s">
        <v>400</v>
      </c>
      <c r="G118" s="222"/>
      <c r="H118" s="8"/>
      <c r="I118" s="8"/>
      <c r="J118" s="8"/>
    </row>
    <row r="119" spans="2:10" x14ac:dyDescent="0.25">
      <c r="B119" s="225" t="s">
        <v>366</v>
      </c>
      <c r="C119" s="226"/>
      <c r="D119" s="211"/>
      <c r="E119" s="204"/>
      <c r="F119" s="221" t="s">
        <v>400</v>
      </c>
      <c r="G119" s="222"/>
      <c r="H119" s="8"/>
      <c r="I119" s="8"/>
      <c r="J119" s="8"/>
    </row>
    <row r="120" spans="2:10" x14ac:dyDescent="0.25">
      <c r="B120" s="225" t="s">
        <v>367</v>
      </c>
      <c r="C120" s="226"/>
      <c r="D120" s="211"/>
      <c r="E120" s="204"/>
      <c r="F120" s="221" t="s">
        <v>400</v>
      </c>
      <c r="G120" s="222"/>
      <c r="H120" s="8"/>
      <c r="I120" s="8"/>
      <c r="J120" s="8"/>
    </row>
    <row r="121" spans="2:10" x14ac:dyDescent="0.25">
      <c r="B121" s="225" t="s">
        <v>368</v>
      </c>
      <c r="C121" s="226"/>
      <c r="D121" s="211"/>
      <c r="E121" s="204"/>
      <c r="F121" s="221" t="s">
        <v>400</v>
      </c>
      <c r="G121" s="222"/>
      <c r="H121" s="8"/>
      <c r="I121" s="8"/>
      <c r="J121" s="8"/>
    </row>
    <row r="122" spans="2:10" x14ac:dyDescent="0.25">
      <c r="B122" s="225" t="s">
        <v>369</v>
      </c>
      <c r="C122" s="226"/>
      <c r="D122" s="211"/>
      <c r="E122" s="204"/>
      <c r="F122" s="221" t="s">
        <v>400</v>
      </c>
      <c r="G122" s="222"/>
      <c r="H122" s="8"/>
      <c r="I122" s="8"/>
      <c r="J122" s="8"/>
    </row>
    <row r="123" spans="2:10" x14ac:dyDescent="0.25">
      <c r="B123" s="225" t="s">
        <v>370</v>
      </c>
      <c r="C123" s="226"/>
      <c r="D123" s="211"/>
      <c r="E123" s="204"/>
      <c r="F123" s="221" t="s">
        <v>400</v>
      </c>
      <c r="G123" s="222"/>
      <c r="H123" s="8"/>
      <c r="I123" s="8"/>
      <c r="J123" s="8"/>
    </row>
    <row r="124" spans="2:10" x14ac:dyDescent="0.25">
      <c r="B124" s="225" t="s">
        <v>371</v>
      </c>
      <c r="C124" s="226"/>
      <c r="D124" s="211"/>
      <c r="E124" s="204"/>
      <c r="F124" s="221" t="s">
        <v>400</v>
      </c>
      <c r="G124" s="222"/>
      <c r="H124" s="8"/>
      <c r="I124" s="8"/>
      <c r="J124" s="8"/>
    </row>
    <row r="125" spans="2:10" x14ac:dyDescent="0.25">
      <c r="B125" s="225" t="s">
        <v>498</v>
      </c>
      <c r="C125" s="226"/>
      <c r="D125" s="211"/>
      <c r="E125" s="204"/>
      <c r="F125" s="221" t="s">
        <v>400</v>
      </c>
      <c r="G125" s="222"/>
      <c r="H125" s="8"/>
      <c r="I125" s="8"/>
      <c r="J125" s="8"/>
    </row>
    <row r="126" spans="2:10" x14ac:dyDescent="0.25">
      <c r="B126" s="225" t="s">
        <v>373</v>
      </c>
      <c r="C126" s="226"/>
      <c r="D126" s="211"/>
      <c r="E126" s="204"/>
      <c r="F126" s="221" t="s">
        <v>400</v>
      </c>
      <c r="G126" s="222"/>
      <c r="H126" s="8"/>
      <c r="I126" s="8"/>
      <c r="J126" s="8"/>
    </row>
    <row r="127" spans="2:10" x14ac:dyDescent="0.25">
      <c r="B127" s="225" t="s">
        <v>374</v>
      </c>
      <c r="C127" s="226"/>
      <c r="D127" s="211"/>
      <c r="E127" s="204"/>
      <c r="F127" s="221" t="s">
        <v>400</v>
      </c>
      <c r="G127" s="222"/>
      <c r="H127" s="8"/>
      <c r="I127" s="8"/>
      <c r="J127" s="8"/>
    </row>
    <row r="128" spans="2:10" x14ac:dyDescent="0.25">
      <c r="B128" s="225" t="s">
        <v>375</v>
      </c>
      <c r="C128" s="226"/>
      <c r="D128" s="211"/>
      <c r="E128" s="204"/>
      <c r="F128" s="221" t="s">
        <v>400</v>
      </c>
      <c r="G128" s="222"/>
      <c r="H128" s="8"/>
      <c r="I128" s="8"/>
      <c r="J128" s="8"/>
    </row>
    <row r="129" spans="2:10" x14ac:dyDescent="0.25">
      <c r="B129" s="225" t="s">
        <v>527</v>
      </c>
      <c r="C129" s="226"/>
      <c r="D129" s="211"/>
      <c r="E129" s="204"/>
      <c r="F129" s="221" t="s">
        <v>400</v>
      </c>
      <c r="G129" s="222"/>
      <c r="H129" s="8"/>
      <c r="I129" s="8"/>
      <c r="J129" s="8"/>
    </row>
    <row r="130" spans="2:10" x14ac:dyDescent="0.25">
      <c r="B130" s="225" t="s">
        <v>377</v>
      </c>
      <c r="C130" s="226"/>
      <c r="D130" s="211"/>
      <c r="E130" s="204"/>
      <c r="F130" s="221" t="s">
        <v>400</v>
      </c>
      <c r="G130" s="222"/>
      <c r="H130" s="8"/>
      <c r="I130" s="8"/>
      <c r="J130" s="8"/>
    </row>
    <row r="131" spans="2:10" x14ac:dyDescent="0.25">
      <c r="B131" s="225" t="s">
        <v>378</v>
      </c>
      <c r="C131" s="226"/>
      <c r="D131" s="211"/>
      <c r="E131" s="204"/>
      <c r="F131" s="221" t="s">
        <v>400</v>
      </c>
      <c r="G131" s="222"/>
      <c r="H131" s="8"/>
      <c r="I131" s="8"/>
      <c r="J131" s="8"/>
    </row>
    <row r="132" spans="2:10" x14ac:dyDescent="0.25">
      <c r="B132" s="225" t="s">
        <v>379</v>
      </c>
      <c r="C132" s="226"/>
      <c r="D132" s="211"/>
      <c r="E132" s="204"/>
      <c r="F132" s="221" t="s">
        <v>400</v>
      </c>
      <c r="G132" s="222"/>
      <c r="H132" s="8"/>
      <c r="I132" s="8"/>
      <c r="J132" s="8"/>
    </row>
    <row r="133" spans="2:10" x14ac:dyDescent="0.25">
      <c r="B133" s="225" t="s">
        <v>499</v>
      </c>
      <c r="C133" s="226"/>
      <c r="D133" s="211"/>
      <c r="E133" s="204"/>
      <c r="F133" s="221" t="s">
        <v>400</v>
      </c>
      <c r="G133" s="222"/>
      <c r="H133" s="8"/>
      <c r="I133" s="8"/>
      <c r="J133" s="8"/>
    </row>
    <row r="134" spans="2:10" x14ac:dyDescent="0.25">
      <c r="B134" s="225" t="s">
        <v>381</v>
      </c>
      <c r="C134" s="226"/>
      <c r="D134" s="211"/>
      <c r="E134" s="204"/>
      <c r="F134" s="221" t="s">
        <v>400</v>
      </c>
      <c r="G134" s="222"/>
      <c r="H134" s="8"/>
      <c r="I134" s="8"/>
      <c r="J134" s="8"/>
    </row>
    <row r="135" spans="2:10" x14ac:dyDescent="0.25">
      <c r="B135" s="225" t="s">
        <v>500</v>
      </c>
      <c r="C135" s="226"/>
      <c r="D135" s="211"/>
      <c r="E135" s="204"/>
      <c r="F135" s="221" t="s">
        <v>400</v>
      </c>
      <c r="G135" s="222"/>
      <c r="H135" s="8"/>
      <c r="I135" s="8"/>
      <c r="J135" s="8"/>
    </row>
    <row r="136" spans="2:10" x14ac:dyDescent="0.25">
      <c r="B136" s="225" t="s">
        <v>383</v>
      </c>
      <c r="C136" s="226"/>
      <c r="D136" s="211"/>
      <c r="E136" s="204"/>
      <c r="F136" s="221" t="s">
        <v>400</v>
      </c>
      <c r="G136" s="222"/>
      <c r="H136" s="8"/>
      <c r="I136" s="8"/>
      <c r="J136" s="8"/>
    </row>
    <row r="137" spans="2:10" x14ac:dyDescent="0.25">
      <c r="B137" s="225" t="s">
        <v>502</v>
      </c>
      <c r="C137" s="226"/>
      <c r="D137" s="211"/>
      <c r="E137" s="204"/>
      <c r="F137" s="221" t="s">
        <v>400</v>
      </c>
      <c r="G137" s="222"/>
      <c r="H137" s="8"/>
      <c r="I137" s="8"/>
      <c r="J137" s="8"/>
    </row>
    <row r="138" spans="2:10" x14ac:dyDescent="0.25">
      <c r="B138" s="225" t="s">
        <v>501</v>
      </c>
      <c r="C138" s="226"/>
      <c r="D138" s="211"/>
      <c r="E138" s="204"/>
      <c r="F138" s="221" t="s">
        <v>400</v>
      </c>
      <c r="G138" s="222"/>
      <c r="H138" s="8"/>
      <c r="I138" s="8"/>
      <c r="J138" s="8"/>
    </row>
    <row r="139" spans="2:10" x14ac:dyDescent="0.25">
      <c r="B139" s="225" t="s">
        <v>503</v>
      </c>
      <c r="C139" s="226"/>
      <c r="D139" s="211"/>
      <c r="E139" s="204"/>
      <c r="F139" s="221" t="s">
        <v>400</v>
      </c>
      <c r="G139" s="222"/>
      <c r="H139" s="8"/>
      <c r="I139" s="8"/>
      <c r="J139" s="8"/>
    </row>
    <row r="140" spans="2:10" x14ac:dyDescent="0.25">
      <c r="B140" s="225" t="s">
        <v>504</v>
      </c>
      <c r="C140" s="226"/>
      <c r="D140" s="211"/>
      <c r="E140" s="204"/>
      <c r="F140" s="221" t="s">
        <v>400</v>
      </c>
      <c r="G140" s="222"/>
      <c r="H140" s="8"/>
      <c r="I140" s="8"/>
      <c r="J140" s="8"/>
    </row>
    <row r="141" spans="2:10" x14ac:dyDescent="0.25">
      <c r="B141" s="225" t="s">
        <v>388</v>
      </c>
      <c r="C141" s="226"/>
      <c r="D141" s="211"/>
      <c r="E141" s="204"/>
      <c r="F141" s="221" t="s">
        <v>400</v>
      </c>
      <c r="G141" s="222"/>
      <c r="H141" s="8"/>
      <c r="I141" s="8"/>
      <c r="J141" s="8"/>
    </row>
    <row r="142" spans="2:10" x14ac:dyDescent="0.25">
      <c r="B142" s="225" t="s">
        <v>391</v>
      </c>
      <c r="C142" s="226"/>
      <c r="D142" s="211"/>
      <c r="E142" s="204"/>
      <c r="F142" s="221" t="s">
        <v>400</v>
      </c>
      <c r="G142" s="222"/>
      <c r="H142" s="8"/>
      <c r="I142" s="8"/>
      <c r="J142" s="8"/>
    </row>
    <row r="143" spans="2:10" x14ac:dyDescent="0.25">
      <c r="B143" s="225" t="s">
        <v>392</v>
      </c>
      <c r="C143" s="226"/>
      <c r="D143" s="211"/>
      <c r="E143" s="204"/>
      <c r="F143" s="221" t="s">
        <v>400</v>
      </c>
      <c r="G143" s="222"/>
      <c r="H143" s="8"/>
      <c r="I143" s="8"/>
      <c r="J143" s="8"/>
    </row>
    <row r="144" spans="2:10" x14ac:dyDescent="0.25">
      <c r="B144" s="225" t="s">
        <v>505</v>
      </c>
      <c r="C144" s="226"/>
      <c r="D144" s="211"/>
      <c r="E144" s="204"/>
      <c r="F144" s="221" t="s">
        <v>400</v>
      </c>
      <c r="G144" s="222"/>
      <c r="H144" s="8"/>
      <c r="I144" s="8"/>
      <c r="J144" s="8"/>
    </row>
    <row r="145" spans="2:10" x14ac:dyDescent="0.25">
      <c r="B145" s="225" t="s">
        <v>396</v>
      </c>
      <c r="C145" s="226"/>
      <c r="D145" s="211"/>
      <c r="E145" s="204"/>
      <c r="F145" s="221" t="s">
        <v>400</v>
      </c>
      <c r="G145" s="222"/>
      <c r="H145" s="8"/>
      <c r="I145" s="8"/>
      <c r="J145" s="8"/>
    </row>
    <row r="146" spans="2:10" hidden="1" x14ac:dyDescent="0.25">
      <c r="B146" s="227" t="s">
        <v>323</v>
      </c>
      <c r="C146" s="228"/>
      <c r="D146" s="211">
        <f>D141</f>
        <v>0</v>
      </c>
      <c r="E146" s="204">
        <f>E141</f>
        <v>0</v>
      </c>
      <c r="F146" s="331" t="s">
        <v>203</v>
      </c>
      <c r="G146" s="222"/>
      <c r="H146" s="8"/>
      <c r="I146" s="8"/>
      <c r="J146" s="8"/>
    </row>
    <row r="147" spans="2:10" hidden="1" x14ac:dyDescent="0.25">
      <c r="B147" s="227" t="s">
        <v>324</v>
      </c>
      <c r="C147" s="228"/>
      <c r="D147" s="211">
        <f>D129</f>
        <v>0</v>
      </c>
      <c r="E147" s="204">
        <f>E129</f>
        <v>0</v>
      </c>
      <c r="F147" s="331" t="s">
        <v>203</v>
      </c>
      <c r="G147" s="222"/>
      <c r="H147" s="8"/>
      <c r="I147" s="8"/>
      <c r="J147" s="8"/>
    </row>
    <row r="148" spans="2:10" ht="13.8" hidden="1" thickBot="1" x14ac:dyDescent="0.3">
      <c r="B148" s="229" t="s">
        <v>307</v>
      </c>
      <c r="C148" s="230"/>
      <c r="D148" s="212">
        <f>D143</f>
        <v>0</v>
      </c>
      <c r="E148" s="201">
        <f>E143</f>
        <v>0</v>
      </c>
      <c r="F148" s="332" t="s">
        <v>203</v>
      </c>
      <c r="G148" s="222"/>
      <c r="H148" s="8"/>
      <c r="I148" s="8"/>
      <c r="J148" s="8"/>
    </row>
  </sheetData>
  <sheetProtection algorithmName="SHA-512" hashValue="CTsGFK29L3CoySm9fxD1XaIzas44O/QEVNJ0ppel+aT/mkoTzGz40v/WxgtcOciBSsIF+y2Ss7Oks9J4sEcrDg==" saltValue="/I7Le4QfGLH8Yv6SsNoXEw==" spinCount="100000" sheet="1" selectLockedCells="1"/>
  <mergeCells count="3">
    <mergeCell ref="D16:D17"/>
    <mergeCell ref="F6:F7"/>
    <mergeCell ref="E6:E7"/>
  </mergeCells>
  <conditionalFormatting sqref="I16">
    <cfRule type="cellIs" dxfId="57" priority="2" operator="equal">
      <formula>"17.05.05"</formula>
    </cfRule>
    <cfRule type="cellIs" dxfId="56" priority="25" operator="equal">
      <formula>"17.05.06"</formula>
    </cfRule>
    <cfRule type="cellIs" dxfId="55" priority="23" operator="equal">
      <formula>"Nadere beoordeling"</formula>
    </cfRule>
    <cfRule type="cellIs" dxfId="54" priority="24" operator="equal">
      <formula>"17.05.05 Gevaarlijk afval"</formula>
    </cfRule>
    <cfRule type="cellIs" dxfId="53" priority="52" operator="equal">
      <formula>"OK"</formula>
    </cfRule>
    <cfRule type="cellIs" dxfId="52" priority="50" operator="equal">
      <formula>"Gevaarlijk afval"</formula>
    </cfRule>
  </conditionalFormatting>
  <conditionalFormatting sqref="I17">
    <cfRule type="cellIs" dxfId="51" priority="46" operator="equal">
      <formula>"Niet verontreinigd"</formula>
    </cfRule>
    <cfRule type="cellIs" dxfId="50" priority="13" operator="equal">
      <formula>"Niet verontreinigd"</formula>
    </cfRule>
    <cfRule type="cellIs" dxfId="49" priority="20" operator="equal">
      <formula>"licht verontreinigd"</formula>
    </cfRule>
    <cfRule type="cellIs" dxfId="48" priority="21" operator="equal">
      <formula>"matig verontreinigd"</formula>
    </cfRule>
    <cfRule type="cellIs" dxfId="47" priority="22" operator="equal">
      <formula>"sterk verontreinigd"</formula>
    </cfRule>
    <cfRule type="cellIs" dxfId="46" priority="45" operator="equal">
      <formula>"Sterk verontreinigd"</formula>
    </cfRule>
    <cfRule type="cellIs" dxfId="45" priority="47" operator="equal">
      <formula>"Licht verontreinigd"</formula>
    </cfRule>
    <cfRule type="cellIs" dxfId="44" priority="48" operator="equal">
      <formula>"Matig verontreinigd"</formula>
    </cfRule>
    <cfRule type="cellIs" dxfId="43" priority="49" operator="equal">
      <formula>"sterk verontreinigd"</formula>
    </cfRule>
  </conditionalFormatting>
  <conditionalFormatting sqref="I18">
    <cfRule type="cellIs" dxfId="42" priority="19" operator="equal">
      <formula>"wel verpreidbaar "</formula>
    </cfRule>
  </conditionalFormatting>
  <conditionalFormatting sqref="I18:I19">
    <cfRule type="cellIs" dxfId="41" priority="12" operator="equal">
      <formula>"wel verspreidbaar"</formula>
    </cfRule>
    <cfRule type="cellIs" dxfId="40" priority="26" operator="equal">
      <formula>"Niet verspreidbaar"</formula>
    </cfRule>
    <cfRule type="cellIs" dxfId="39" priority="16" operator="equal">
      <formula>"niet verspreidbaar"</formula>
    </cfRule>
    <cfRule type="cellIs" dxfId="38" priority="42" operator="equal">
      <formula>"Verspreidbaar"</formula>
    </cfRule>
  </conditionalFormatting>
  <conditionalFormatting sqref="I19">
    <cfRule type="cellIs" dxfId="37" priority="41" operator="equal">
      <formula>"Niet verspreidbaar"</formula>
    </cfRule>
  </conditionalFormatting>
  <conditionalFormatting sqref="I20">
    <cfRule type="cellIs" dxfId="36" priority="10" operator="equal">
      <formula>"Niet toepasbaar"</formula>
    </cfRule>
    <cfRule type="cellIs" dxfId="35" priority="11" operator="equal">
      <formula>"Wel toepasbaar"</formula>
    </cfRule>
  </conditionalFormatting>
  <conditionalFormatting sqref="I20:I21">
    <cfRule type="cellIs" dxfId="34" priority="36" operator="equal">
      <formula>"Niet toepasbaar"</formula>
    </cfRule>
    <cfRule type="cellIs" dxfId="33" priority="38" operator="equal">
      <formula>"Toepasbaar"</formula>
    </cfRule>
  </conditionalFormatting>
  <conditionalFormatting sqref="I21">
    <cfRule type="containsText" dxfId="32" priority="8" operator="containsText" text="niet toepasbaar">
      <formula>NOT(ISERROR(SEARCH("niet toepasbaar",I21)))</formula>
    </cfRule>
    <cfRule type="cellIs" dxfId="31" priority="9" operator="equal">
      <formula>"wel toepasbaar"</formula>
    </cfRule>
    <cfRule type="cellIs" dxfId="30" priority="37" operator="equal">
      <formula>"Niet toepasbaar"</formula>
    </cfRule>
  </conditionalFormatting>
  <conditionalFormatting sqref="I22">
    <cfRule type="cellIs" dxfId="29" priority="4" operator="equal">
      <formula>"Niet verontreinigd"</formula>
    </cfRule>
    <cfRule type="cellIs" dxfId="28" priority="34" operator="equal">
      <formula>"sterk verontreinigd"</formula>
    </cfRule>
    <cfRule type="cellIs" dxfId="27" priority="35" operator="equal">
      <formula>"Niet verontreinigd"</formula>
    </cfRule>
  </conditionalFormatting>
  <conditionalFormatting sqref="I22:I24">
    <cfRule type="cellIs" dxfId="26" priority="5" operator="equal">
      <formula>"sterk verontreinigd"</formula>
    </cfRule>
  </conditionalFormatting>
  <conditionalFormatting sqref="I23:I24">
    <cfRule type="cellIs" dxfId="25" priority="7" operator="equal">
      <formula>"Nadere beoordeling gevaarlijk afval"</formula>
    </cfRule>
    <cfRule type="cellIs" dxfId="24" priority="27" operator="equal">
      <formula>"Ja, mits"</formula>
    </cfRule>
    <cfRule type="cellIs" dxfId="23" priority="1" operator="equal">
      <formula>"Nadere beschouwing Gevaarlijk Afval"</formula>
    </cfRule>
    <cfRule type="cellIs" dxfId="22" priority="28" operator="equal">
      <formula>"Nee"</formula>
    </cfRule>
    <cfRule type="cellIs" dxfId="21" priority="29" operator="equal">
      <formula>"Nadere beoordeling"</formula>
    </cfRule>
    <cfRule type="cellIs" dxfId="20" priority="30" operator="equal">
      <formula>"Ja"</formula>
    </cfRule>
    <cfRule type="cellIs" dxfId="19" priority="3" operator="equal">
      <formula>"Nee, mits"</formula>
    </cfRule>
  </conditionalFormatting>
  <conditionalFormatting sqref="K11">
    <cfRule type="cellIs" dxfId="18" priority="33" operator="equal">
      <formula>"Ja"</formula>
    </cfRule>
    <cfRule type="cellIs" dxfId="17" priority="31" operator="equal">
      <formula>"Nee"</formula>
    </cfRule>
    <cfRule type="cellIs" dxfId="16" priority="32" operator="equal">
      <formula>"ja, mits"</formula>
    </cfRule>
  </conditionalFormatting>
  <pageMargins left="0.7" right="0.7" top="0.75" bottom="0.75" header="0.3" footer="0.3"/>
  <pageSetup scale="3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B1:AJ272"/>
  <sheetViews>
    <sheetView showGridLines="0" view="pageBreakPreview" topLeftCell="A19" zoomScale="70" zoomScaleNormal="115" zoomScaleSheetLayoutView="70" workbookViewId="0">
      <selection activeCell="F81" sqref="F81"/>
    </sheetView>
  </sheetViews>
  <sheetFormatPr defaultColWidth="9.109375" defaultRowHeight="13.2" x14ac:dyDescent="0.25"/>
  <cols>
    <col min="1" max="1" width="3.33203125" style="1" customWidth="1"/>
    <col min="2" max="2" width="60.88671875" style="1" customWidth="1"/>
    <col min="3" max="3" width="11.6640625" style="1" customWidth="1"/>
    <col min="4" max="4" width="15.33203125" style="1" customWidth="1"/>
    <col min="5" max="5" width="16" style="1" customWidth="1"/>
    <col min="6" max="6" width="99.21875" style="1" customWidth="1"/>
    <col min="7" max="7" width="17.109375" style="1" customWidth="1"/>
    <col min="8" max="8" width="26.6640625" style="1" customWidth="1"/>
    <col min="9" max="9" width="15.77734375" style="1" customWidth="1"/>
    <col min="10" max="10" width="8.6640625" style="1" customWidth="1"/>
    <col min="11" max="11" width="9.21875" style="1" customWidth="1"/>
    <col min="12" max="12" width="9.6640625" style="1" customWidth="1"/>
    <col min="13" max="13" width="9.77734375" style="1" customWidth="1"/>
    <col min="14" max="14" width="9.109375" style="1" customWidth="1"/>
    <col min="15" max="22" width="8.6640625" style="1" customWidth="1"/>
    <col min="23" max="23" width="9.77734375" style="1" customWidth="1"/>
    <col min="24" max="24" width="9.6640625" style="1" customWidth="1"/>
    <col min="25" max="25" width="10.77734375" style="1" customWidth="1"/>
    <col min="26" max="26" width="14.33203125" style="1" customWidth="1"/>
    <col min="27" max="27" width="12" style="1" customWidth="1"/>
    <col min="28" max="28" width="9.33203125" style="1" customWidth="1"/>
    <col min="29" max="29" width="11.21875" style="1" customWidth="1"/>
    <col min="30" max="30" width="9.33203125" style="1" customWidth="1"/>
    <col min="31" max="31" width="8.21875" style="1" bestFit="1" customWidth="1"/>
    <col min="32" max="32" width="14.6640625" style="1" customWidth="1"/>
    <col min="33" max="33" width="13.88671875" style="1" customWidth="1"/>
    <col min="34" max="34" width="17.21875" style="1" customWidth="1"/>
    <col min="35" max="35" width="28.109375" style="1" customWidth="1"/>
    <col min="36" max="36" width="25.44140625" style="1" customWidth="1"/>
    <col min="37" max="38" width="8.6640625" style="1" customWidth="1"/>
    <col min="39" max="67" width="9.109375" style="1" customWidth="1"/>
    <col min="68" max="16384" width="9.109375" style="1"/>
  </cols>
  <sheetData>
    <row r="1" spans="2:36" ht="13.8" thickBot="1" x14ac:dyDescent="0.3"/>
    <row r="2" spans="2:36" ht="13.8" thickBot="1" x14ac:dyDescent="0.3">
      <c r="B2" s="2" t="s">
        <v>325</v>
      </c>
      <c r="C2" s="3"/>
      <c r="D2" s="3"/>
      <c r="E2" s="308">
        <f>Invoertabblad!C2</f>
        <v>0</v>
      </c>
      <c r="F2" s="3"/>
      <c r="G2" s="3"/>
      <c r="H2" s="3"/>
      <c r="I2" s="4"/>
      <c r="J2" s="4"/>
      <c r="K2" s="4"/>
      <c r="L2" s="4"/>
      <c r="M2" s="4"/>
      <c r="N2" s="4"/>
      <c r="O2" s="14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5"/>
      <c r="AG2" s="6"/>
      <c r="AH2" s="6"/>
    </row>
    <row r="3" spans="2:36" x14ac:dyDescent="0.25">
      <c r="B3" s="7" t="str">
        <f>Invoertabblad!B3</f>
        <v>Rapportage kenmerk:</v>
      </c>
      <c r="C3" s="144"/>
      <c r="D3" s="6"/>
      <c r="E3" s="213">
        <f>Invoertabblad!C3</f>
        <v>0</v>
      </c>
      <c r="F3" s="8"/>
      <c r="G3" s="8"/>
      <c r="H3" s="6"/>
      <c r="I3" s="6"/>
      <c r="J3" s="6"/>
      <c r="K3" s="6"/>
      <c r="L3" s="6"/>
      <c r="M3" s="6"/>
      <c r="N3" s="6"/>
      <c r="O3" s="144"/>
      <c r="P3" s="144"/>
      <c r="Q3" s="144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9"/>
      <c r="AG3" s="163" t="s">
        <v>491</v>
      </c>
      <c r="AH3" s="165"/>
      <c r="AI3" s="1" t="s">
        <v>526</v>
      </c>
      <c r="AJ3" s="1">
        <f>SUM(D32:D42)</f>
        <v>0</v>
      </c>
    </row>
    <row r="4" spans="2:36" x14ac:dyDescent="0.25">
      <c r="B4" s="7" t="str">
        <f>Invoertabblad!B4</f>
        <v xml:space="preserve">Rapportage datum: </v>
      </c>
      <c r="C4" s="144"/>
      <c r="D4" s="6"/>
      <c r="E4" s="214">
        <f>Invoertabblad!C4</f>
        <v>0</v>
      </c>
      <c r="F4" s="8"/>
      <c r="G4" s="8"/>
      <c r="H4" s="6"/>
      <c r="I4" s="6"/>
      <c r="J4" s="6"/>
      <c r="K4" s="6"/>
      <c r="L4" s="6"/>
      <c r="M4" s="6"/>
      <c r="N4" s="6"/>
      <c r="O4" s="144"/>
      <c r="P4" s="144"/>
      <c r="Q4" s="144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9"/>
      <c r="AG4" s="171"/>
      <c r="AH4" s="169"/>
      <c r="AJ4" s="1" t="str">
        <f>IF(AJ3=0,G45)</f>
        <v/>
      </c>
    </row>
    <row r="5" spans="2:36" x14ac:dyDescent="0.25">
      <c r="B5" s="7" t="str">
        <f>Invoertabblad!B5</f>
        <v>Datum baggertoetsformulier:</v>
      </c>
      <c r="C5" s="144"/>
      <c r="D5" s="8"/>
      <c r="E5" s="214">
        <f ca="1">TODAY()</f>
        <v>46041</v>
      </c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9"/>
      <c r="AG5" s="171" t="s">
        <v>514</v>
      </c>
      <c r="AH5" s="180">
        <f>COUNTIF(F17:F92, "OK")</f>
        <v>0</v>
      </c>
      <c r="AJ5" s="180">
        <f>SUM(COUNTIF(AJ4, "Nadere beoordeling"))</f>
        <v>0</v>
      </c>
    </row>
    <row r="6" spans="2:36" ht="13.8" thickBot="1" x14ac:dyDescent="0.3">
      <c r="D6"/>
      <c r="AE6" s="6"/>
      <c r="AF6" s="9"/>
      <c r="AG6" s="171" t="s">
        <v>494</v>
      </c>
      <c r="AH6" s="180">
        <f>SUM(COUNTIF(F17:F92, "Nadere beoordeling"))+AJ5</f>
        <v>0</v>
      </c>
      <c r="AI6" s="178"/>
      <c r="AJ6" s="178"/>
    </row>
    <row r="7" spans="2:36" ht="13.8" thickBot="1" x14ac:dyDescent="0.3">
      <c r="D7"/>
      <c r="E7" s="10"/>
      <c r="AE7" s="6"/>
      <c r="AF7" s="9"/>
      <c r="AG7" s="176" t="s">
        <v>495</v>
      </c>
      <c r="AH7" s="180">
        <f>COUNTIF(F19:F94, "gevaarlijk afval")+AH8</f>
        <v>0</v>
      </c>
    </row>
    <row r="8" spans="2:36" x14ac:dyDescent="0.25">
      <c r="B8" s="11" t="s">
        <v>291</v>
      </c>
      <c r="C8" s="11"/>
      <c r="D8" s="215">
        <v>1200</v>
      </c>
      <c r="E8" s="11"/>
      <c r="AE8" s="6"/>
      <c r="AF8" s="9"/>
      <c r="AH8" s="180">
        <f>COUNTIF(AA216, "gevaarlijk afval")</f>
        <v>0</v>
      </c>
    </row>
    <row r="9" spans="2:36" ht="13.8" thickBot="1" x14ac:dyDescent="0.3">
      <c r="B9" s="11" t="s">
        <v>292</v>
      </c>
      <c r="C9" s="11"/>
      <c r="D9" s="215">
        <v>60</v>
      </c>
      <c r="E9" s="11"/>
      <c r="AE9" s="6"/>
      <c r="AF9" s="9"/>
      <c r="AG9" s="176" t="s">
        <v>487</v>
      </c>
      <c r="AH9" s="178" t="str" cm="1">
        <f t="array" ref="AH9">_xlfn.IFS(AH7&gt;0,"17.05.05 Gevaarlijk afval",AH6&gt;0,"nadere beoordeling",AH5&gt;0,"17.05.06",AH5+AH6+AH7&lt;1,"17.05.06")</f>
        <v>17.05.06</v>
      </c>
    </row>
    <row r="10" spans="2:36" x14ac:dyDescent="0.25">
      <c r="B10" s="11" t="s">
        <v>212</v>
      </c>
      <c r="C10" s="11"/>
      <c r="D10" s="132">
        <f>(D8*(1-D9%)+1000*D9%)/(D8*(1-D9%))</f>
        <v>2.25</v>
      </c>
      <c r="H10" s="12"/>
      <c r="I10" s="12"/>
      <c r="AE10" s="141"/>
      <c r="AF10" s="13"/>
      <c r="AH10" s="180">
        <f>COUNTIF(AH9, "nadere beoordeling")</f>
        <v>0</v>
      </c>
    </row>
    <row r="11" spans="2:36" x14ac:dyDescent="0.25">
      <c r="B11" s="11"/>
      <c r="C11" s="11"/>
      <c r="D11"/>
      <c r="H11" s="145"/>
      <c r="I11" s="135"/>
      <c r="J11" s="11"/>
      <c r="AE11" s="142"/>
      <c r="AF11" s="14"/>
    </row>
    <row r="12" spans="2:36" ht="66" x14ac:dyDescent="0.25">
      <c r="B12" s="11"/>
      <c r="C12" s="11"/>
      <c r="D12" s="135" t="s">
        <v>427</v>
      </c>
      <c r="E12" s="1" t="s">
        <v>295</v>
      </c>
      <c r="H12" s="145"/>
      <c r="I12" s="135"/>
      <c r="J12" s="11"/>
      <c r="AE12" s="142"/>
      <c r="AG12" s="14" t="s">
        <v>525</v>
      </c>
    </row>
    <row r="13" spans="2:36" x14ac:dyDescent="0.25">
      <c r="B13" s="11" t="s">
        <v>425</v>
      </c>
      <c r="C13" s="11"/>
      <c r="D13" s="215"/>
      <c r="H13" s="145"/>
      <c r="I13" s="135"/>
      <c r="J13" s="11"/>
      <c r="AE13" s="142"/>
      <c r="AF13" s="14"/>
    </row>
    <row r="14" spans="2:36" x14ac:dyDescent="0.25">
      <c r="B14" s="11" t="s">
        <v>426</v>
      </c>
      <c r="C14" s="11"/>
      <c r="D14" s="215"/>
      <c r="H14" s="145"/>
      <c r="I14" s="135"/>
      <c r="J14" s="11"/>
      <c r="AE14" s="142"/>
      <c r="AF14" s="14"/>
    </row>
    <row r="15" spans="2:36" x14ac:dyDescent="0.25">
      <c r="B15" s="11"/>
      <c r="C15" s="11"/>
      <c r="D15"/>
      <c r="H15" s="145"/>
      <c r="I15" s="135"/>
      <c r="J15" s="11"/>
      <c r="AE15" s="142"/>
      <c r="AF15" s="14"/>
    </row>
    <row r="16" spans="2:36" s="17" customFormat="1" ht="27" thickBot="1" x14ac:dyDescent="0.3">
      <c r="B16" s="15" t="s">
        <v>346</v>
      </c>
      <c r="C16" s="218" t="s">
        <v>517</v>
      </c>
      <c r="D16" s="219" t="s">
        <v>294</v>
      </c>
      <c r="E16" s="220" t="s">
        <v>295</v>
      </c>
      <c r="F16" s="11" t="s">
        <v>354</v>
      </c>
      <c r="G16" s="11"/>
      <c r="H16" s="11" t="s">
        <v>353</v>
      </c>
      <c r="I16" s="11"/>
      <c r="J16" s="11"/>
      <c r="K16" s="11" t="s">
        <v>422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F16" s="16"/>
    </row>
    <row r="17" spans="2:34" ht="13.8" thickBot="1" x14ac:dyDescent="0.3">
      <c r="B17" s="11" t="s">
        <v>403</v>
      </c>
      <c r="C17" s="215">
        <f>Invoertabblad!D18</f>
        <v>0</v>
      </c>
      <c r="D17" s="215">
        <f>Invoertabblad!E18</f>
        <v>0</v>
      </c>
      <c r="E17" s="26" t="s">
        <v>203</v>
      </c>
      <c r="F17" s="318" t="str">
        <f>IF(D17=0,"",IF(D17/$D$10&gt;=1000,"Nadere beoordeling uitvoeren","OK"))</f>
        <v/>
      </c>
      <c r="G17" s="319" t="str">
        <f>F17</f>
        <v/>
      </c>
      <c r="H17" s="146">
        <f t="shared" ref="H17:H29" si="0">D17/$D$10</f>
        <v>0</v>
      </c>
      <c r="I17" s="11"/>
      <c r="J17" s="11"/>
      <c r="K17" s="11" t="str">
        <f>IF(D17&gt;0,AA216,"-")</f>
        <v>-</v>
      </c>
      <c r="AE17" s="17"/>
      <c r="AF17" s="16"/>
    </row>
    <row r="18" spans="2:34" ht="13.8" thickBot="1" x14ac:dyDescent="0.3">
      <c r="B18" s="11" t="s">
        <v>140</v>
      </c>
      <c r="C18" s="215">
        <f>Invoertabblad!D26</f>
        <v>0</v>
      </c>
      <c r="D18" s="215">
        <f>Invoertabblad!E26</f>
        <v>0</v>
      </c>
      <c r="E18" s="26" t="s">
        <v>203</v>
      </c>
      <c r="F18" s="320" t="str">
        <f>IF(D18=0,"",IF(D18/$D$10&gt;=1000,"Nadere beoordeling uitvoeren","OK"))</f>
        <v/>
      </c>
      <c r="G18" s="321" t="str">
        <f t="shared" ref="G18:G64" si="1">F18</f>
        <v/>
      </c>
      <c r="H18" s="146">
        <f t="shared" si="0"/>
        <v>0</v>
      </c>
      <c r="I18" s="11"/>
      <c r="J18" s="11"/>
      <c r="K18" s="11" t="str">
        <f>IF(F18="Nadere beoordeling uitvoeren",AA216,"-")</f>
        <v>-</v>
      </c>
      <c r="AF18" s="18"/>
    </row>
    <row r="19" spans="2:34" ht="13.8" thickBot="1" x14ac:dyDescent="0.3">
      <c r="B19" s="11" t="s">
        <v>347</v>
      </c>
      <c r="C19" s="215">
        <f>Invoertabblad!D19</f>
        <v>0</v>
      </c>
      <c r="D19" s="215">
        <f>Invoertabblad!E19</f>
        <v>0</v>
      </c>
      <c r="E19" s="26" t="s">
        <v>203</v>
      </c>
      <c r="F19" s="320" t="str">
        <f t="shared" ref="F19:F29" si="2">IF(D19=0,"",IF(D19/$D$10&gt;=1000,"Nadere beoordeling uitvoeren","OK"))</f>
        <v/>
      </c>
      <c r="G19" s="321" t="str">
        <f t="shared" si="1"/>
        <v/>
      </c>
      <c r="H19" s="146">
        <f t="shared" si="0"/>
        <v>0</v>
      </c>
      <c r="I19" s="11"/>
      <c r="J19" s="11"/>
      <c r="AF19" s="18"/>
    </row>
    <row r="20" spans="2:34" ht="13.8" thickBot="1" x14ac:dyDescent="0.3">
      <c r="B20" s="11" t="s">
        <v>348</v>
      </c>
      <c r="C20" s="215">
        <f>Invoertabblad!D27</f>
        <v>0</v>
      </c>
      <c r="D20" s="215">
        <f>Invoertabblad!E27</f>
        <v>0</v>
      </c>
      <c r="E20" s="26" t="s">
        <v>203</v>
      </c>
      <c r="F20" s="320" t="str">
        <f t="shared" si="2"/>
        <v/>
      </c>
      <c r="G20" s="321" t="str">
        <f t="shared" si="1"/>
        <v/>
      </c>
      <c r="H20" s="146">
        <f t="shared" si="0"/>
        <v>0</v>
      </c>
      <c r="I20" s="11"/>
      <c r="J20" s="11"/>
      <c r="AF20" s="18"/>
    </row>
    <row r="21" spans="2:34" ht="13.8" thickBot="1" x14ac:dyDescent="0.3">
      <c r="B21" s="11" t="s">
        <v>349</v>
      </c>
      <c r="C21" s="215">
        <f>Invoertabblad!D21</f>
        <v>0</v>
      </c>
      <c r="D21" s="215">
        <f>Invoertabblad!E21</f>
        <v>0</v>
      </c>
      <c r="E21" s="26" t="s">
        <v>203</v>
      </c>
      <c r="F21" s="320" t="str">
        <f t="shared" si="2"/>
        <v/>
      </c>
      <c r="G21" s="321" t="str">
        <f t="shared" si="1"/>
        <v/>
      </c>
      <c r="H21" s="146">
        <f t="shared" si="0"/>
        <v>0</v>
      </c>
      <c r="I21" s="11"/>
      <c r="J21" s="11"/>
      <c r="AF21" s="18"/>
    </row>
    <row r="22" spans="2:34" ht="13.8" thickBot="1" x14ac:dyDescent="0.3">
      <c r="B22" s="11" t="s">
        <v>350</v>
      </c>
      <c r="C22" s="215">
        <f>Invoertabblad!D22</f>
        <v>0</v>
      </c>
      <c r="D22" s="215">
        <f>Invoertabblad!E22</f>
        <v>0</v>
      </c>
      <c r="E22" s="26" t="s">
        <v>203</v>
      </c>
      <c r="F22" s="320" t="str">
        <f t="shared" si="2"/>
        <v/>
      </c>
      <c r="G22" s="321" t="str">
        <f t="shared" si="1"/>
        <v/>
      </c>
      <c r="H22" s="146">
        <f t="shared" si="0"/>
        <v>0</v>
      </c>
      <c r="I22" s="11"/>
      <c r="J22" s="11"/>
      <c r="AF22" s="18"/>
    </row>
    <row r="23" spans="2:34" ht="13.8" thickBot="1" x14ac:dyDescent="0.3">
      <c r="B23" s="11" t="s">
        <v>194</v>
      </c>
      <c r="C23" s="215">
        <f>Invoertabblad!D24</f>
        <v>0</v>
      </c>
      <c r="D23" s="215">
        <f>Invoertabblad!E24</f>
        <v>0</v>
      </c>
      <c r="E23" s="26" t="s">
        <v>203</v>
      </c>
      <c r="F23" s="320" t="str">
        <f t="shared" si="2"/>
        <v/>
      </c>
      <c r="G23" s="321" t="str">
        <f t="shared" si="1"/>
        <v/>
      </c>
      <c r="H23" s="146">
        <f t="shared" si="0"/>
        <v>0</v>
      </c>
      <c r="I23" s="11"/>
      <c r="J23" s="11"/>
      <c r="K23" s="11" t="str">
        <f>IF(F23="Nadere beoordeling uitvoeren",AA216,"-")</f>
        <v>-</v>
      </c>
      <c r="AF23" s="18"/>
      <c r="AH23" s="180"/>
    </row>
    <row r="24" spans="2:34" ht="13.8" thickBot="1" x14ac:dyDescent="0.3">
      <c r="B24" s="11" t="s">
        <v>351</v>
      </c>
      <c r="C24" s="215">
        <f>Invoertabblad!D28</f>
        <v>0</v>
      </c>
      <c r="D24" s="215">
        <f>Invoertabblad!E28</f>
        <v>0</v>
      </c>
      <c r="E24" s="26" t="s">
        <v>203</v>
      </c>
      <c r="F24" s="320" t="str">
        <f t="shared" si="2"/>
        <v/>
      </c>
      <c r="G24" s="321" t="str">
        <f t="shared" si="1"/>
        <v/>
      </c>
      <c r="H24" s="146">
        <f t="shared" si="0"/>
        <v>0</v>
      </c>
      <c r="I24" s="11"/>
      <c r="J24" s="11"/>
      <c r="AF24" s="18"/>
    </row>
    <row r="25" spans="2:34" ht="13.8" thickBot="1" x14ac:dyDescent="0.3">
      <c r="B25" s="11" t="s">
        <v>352</v>
      </c>
      <c r="C25" s="215">
        <f>Invoertabblad!D23</f>
        <v>0</v>
      </c>
      <c r="D25" s="215">
        <f>Invoertabblad!E23</f>
        <v>0</v>
      </c>
      <c r="E25" s="26" t="s">
        <v>203</v>
      </c>
      <c r="F25" s="320" t="str">
        <f t="shared" si="2"/>
        <v/>
      </c>
      <c r="G25" s="321" t="str">
        <f t="shared" si="1"/>
        <v/>
      </c>
      <c r="H25" s="146">
        <f t="shared" si="0"/>
        <v>0</v>
      </c>
      <c r="I25" s="11"/>
      <c r="J25" s="11"/>
      <c r="AF25" s="18"/>
    </row>
    <row r="26" spans="2:34" ht="13.8" thickBot="1" x14ac:dyDescent="0.3">
      <c r="B26" s="19" t="s">
        <v>164</v>
      </c>
      <c r="C26" s="215">
        <f>Invoertabblad!D25</f>
        <v>0</v>
      </c>
      <c r="D26" s="215">
        <f>Invoertabblad!E25</f>
        <v>0</v>
      </c>
      <c r="E26" s="26" t="s">
        <v>203</v>
      </c>
      <c r="F26" s="320" t="str">
        <f t="shared" si="2"/>
        <v/>
      </c>
      <c r="G26" s="321" t="str">
        <f t="shared" si="1"/>
        <v/>
      </c>
      <c r="H26" s="146">
        <f t="shared" si="0"/>
        <v>0</v>
      </c>
      <c r="I26" s="11"/>
      <c r="J26" s="11"/>
      <c r="K26" s="11" t="str">
        <f>IF(F26="Nadere beoordeling uitvoeren",AA216,"-")</f>
        <v>-</v>
      </c>
      <c r="X26" s="19"/>
      <c r="Y26" s="20"/>
      <c r="Z26" s="20"/>
      <c r="AA26" s="20"/>
      <c r="AC26" s="20"/>
      <c r="AD26" s="20"/>
      <c r="AF26" s="18"/>
    </row>
    <row r="27" spans="2:34" ht="13.8" thickBot="1" x14ac:dyDescent="0.3">
      <c r="B27" s="11" t="s">
        <v>223</v>
      </c>
      <c r="C27" s="215">
        <f>Invoertabblad!D20</f>
        <v>0</v>
      </c>
      <c r="D27" s="215">
        <f>Invoertabblad!E20</f>
        <v>0</v>
      </c>
      <c r="E27" s="26" t="s">
        <v>203</v>
      </c>
      <c r="F27" s="320" t="str">
        <f t="shared" si="2"/>
        <v/>
      </c>
      <c r="G27" s="321" t="str">
        <f t="shared" si="1"/>
        <v/>
      </c>
      <c r="H27" s="146">
        <f t="shared" si="0"/>
        <v>0</v>
      </c>
      <c r="I27" s="11"/>
      <c r="J27" s="11"/>
      <c r="K27" s="11" t="str">
        <f>IF(F27="Nadere beoordeling uitvoeren",AA216,"-")</f>
        <v>-</v>
      </c>
      <c r="AF27" s="18"/>
    </row>
    <row r="28" spans="2:34" ht="13.8" thickBot="1" x14ac:dyDescent="0.3">
      <c r="B28" s="11"/>
      <c r="C28" s="215"/>
      <c r="D28" s="215"/>
      <c r="E28" s="11"/>
      <c r="G28" s="143"/>
      <c r="H28" s="146"/>
      <c r="I28" s="11"/>
      <c r="J28" s="11"/>
      <c r="AF28" s="18"/>
    </row>
    <row r="29" spans="2:34" ht="13.8" thickBot="1" x14ac:dyDescent="0.3">
      <c r="B29" s="15" t="s">
        <v>355</v>
      </c>
      <c r="C29" s="215">
        <f>Invoertabblad!D30</f>
        <v>0</v>
      </c>
      <c r="D29" s="215">
        <f>Invoertabblad!E30</f>
        <v>0</v>
      </c>
      <c r="E29" s="26" t="s">
        <v>203</v>
      </c>
      <c r="F29" s="318" t="str">
        <f t="shared" si="2"/>
        <v/>
      </c>
      <c r="G29" s="318" t="str">
        <f t="shared" si="1"/>
        <v/>
      </c>
      <c r="H29" s="146">
        <f t="shared" si="0"/>
        <v>0</v>
      </c>
      <c r="I29" s="11"/>
      <c r="J29" s="11"/>
      <c r="AF29" s="18"/>
    </row>
    <row r="30" spans="2:34" x14ac:dyDescent="0.25">
      <c r="B30" s="11"/>
      <c r="C30" s="215"/>
      <c r="D30" s="215"/>
      <c r="E30" s="11"/>
      <c r="G30" s="143"/>
      <c r="H30" s="11"/>
      <c r="I30" s="11"/>
      <c r="J30" s="11"/>
      <c r="AF30" s="18"/>
    </row>
    <row r="31" spans="2:34" ht="13.8" thickBot="1" x14ac:dyDescent="0.3">
      <c r="B31" s="21" t="s">
        <v>329</v>
      </c>
      <c r="C31" s="215"/>
      <c r="D31" s="215"/>
      <c r="E31" s="11"/>
      <c r="G31" s="143"/>
      <c r="H31" s="11" t="s">
        <v>353</v>
      </c>
      <c r="I31" s="11" t="str">
        <f>H223</f>
        <v>% m/m</v>
      </c>
      <c r="J31" s="11"/>
      <c r="AF31" s="18"/>
    </row>
    <row r="32" spans="2:34" ht="13.8" thickBot="1" x14ac:dyDescent="0.3">
      <c r="B32" t="s">
        <v>330</v>
      </c>
      <c r="C32" s="215">
        <f>Invoertabblad!D33</f>
        <v>0</v>
      </c>
      <c r="D32" s="215">
        <f>Invoertabblad!E41</f>
        <v>0</v>
      </c>
      <c r="E32" s="26" t="s">
        <v>203</v>
      </c>
      <c r="F32" s="318" t="str">
        <f t="shared" ref="F32:F42" si="3">IF(D32=0,"",IF(D32/$D$10&gt;=1000,$AA$216,"OK"))</f>
        <v/>
      </c>
      <c r="G32" s="318"/>
      <c r="H32" s="147">
        <f>D32/$D$10</f>
        <v>0</v>
      </c>
      <c r="I32" s="145">
        <f t="shared" ref="I32:I41" si="4">H32/1000000*100</f>
        <v>0</v>
      </c>
      <c r="J32" s="11"/>
      <c r="AF32" s="18"/>
    </row>
    <row r="33" spans="2:32" ht="13.8" thickBot="1" x14ac:dyDescent="0.3">
      <c r="B33" t="s">
        <v>331</v>
      </c>
      <c r="C33" s="215">
        <f>Invoertabblad!D34</f>
        <v>0</v>
      </c>
      <c r="D33" s="215">
        <f>Invoertabblad!E43</f>
        <v>0</v>
      </c>
      <c r="E33" s="26" t="s">
        <v>203</v>
      </c>
      <c r="F33" s="318" t="str">
        <f t="shared" si="3"/>
        <v/>
      </c>
      <c r="G33" s="318"/>
      <c r="H33" s="147">
        <f t="shared" ref="H33:H41" si="5">D33/$D$10</f>
        <v>0</v>
      </c>
      <c r="I33" s="145">
        <f t="shared" si="4"/>
        <v>0</v>
      </c>
      <c r="J33" s="11"/>
      <c r="AF33" s="18"/>
    </row>
    <row r="34" spans="2:32" ht="13.8" thickBot="1" x14ac:dyDescent="0.3">
      <c r="B34" t="s">
        <v>332</v>
      </c>
      <c r="C34" s="215">
        <f>Invoertabblad!D35</f>
        <v>0</v>
      </c>
      <c r="D34" s="215">
        <f>Invoertabblad!E42</f>
        <v>0</v>
      </c>
      <c r="E34" s="26" t="s">
        <v>203</v>
      </c>
      <c r="F34" s="318" t="str">
        <f t="shared" si="3"/>
        <v/>
      </c>
      <c r="G34" s="318"/>
      <c r="H34" s="147">
        <f t="shared" si="5"/>
        <v>0</v>
      </c>
      <c r="I34" s="145">
        <f t="shared" si="4"/>
        <v>0</v>
      </c>
      <c r="J34" s="11"/>
      <c r="AF34" s="18"/>
    </row>
    <row r="35" spans="2:32" ht="13.8" thickBot="1" x14ac:dyDescent="0.3">
      <c r="B35" t="s">
        <v>333</v>
      </c>
      <c r="C35" s="215">
        <f>Invoertabblad!D36</f>
        <v>0</v>
      </c>
      <c r="D35" s="215">
        <f>Invoertabblad!E44</f>
        <v>0</v>
      </c>
      <c r="E35" s="26" t="s">
        <v>203</v>
      </c>
      <c r="F35" s="318" t="str">
        <f t="shared" si="3"/>
        <v/>
      </c>
      <c r="G35" s="318"/>
      <c r="H35" s="147">
        <f t="shared" si="5"/>
        <v>0</v>
      </c>
      <c r="I35" s="145">
        <f t="shared" si="4"/>
        <v>0</v>
      </c>
      <c r="J35" s="11"/>
      <c r="AF35" s="18"/>
    </row>
    <row r="36" spans="2:32" ht="13.8" thickBot="1" x14ac:dyDescent="0.3">
      <c r="B36" t="s">
        <v>334</v>
      </c>
      <c r="C36" s="215">
        <f>Invoertabblad!D40</f>
        <v>0</v>
      </c>
      <c r="D36" s="215">
        <f>Invoertabblad!E45</f>
        <v>0</v>
      </c>
      <c r="E36" s="26" t="s">
        <v>203</v>
      </c>
      <c r="F36" s="318" t="str">
        <f t="shared" si="3"/>
        <v/>
      </c>
      <c r="G36" s="318"/>
      <c r="H36" s="147">
        <f t="shared" si="5"/>
        <v>0</v>
      </c>
      <c r="I36" s="145">
        <f t="shared" si="4"/>
        <v>0</v>
      </c>
      <c r="J36" s="11"/>
      <c r="AF36" s="18"/>
    </row>
    <row r="37" spans="2:32" ht="13.8" thickBot="1" x14ac:dyDescent="0.3">
      <c r="B37" t="s">
        <v>335</v>
      </c>
      <c r="C37" s="215">
        <f>Invoertabblad!D41</f>
        <v>0</v>
      </c>
      <c r="D37" s="215">
        <f>Invoertabblad!E46</f>
        <v>0</v>
      </c>
      <c r="E37" s="26" t="s">
        <v>203</v>
      </c>
      <c r="F37" s="318" t="str">
        <f t="shared" si="3"/>
        <v/>
      </c>
      <c r="G37" s="318"/>
      <c r="H37" s="147">
        <f t="shared" si="5"/>
        <v>0</v>
      </c>
      <c r="I37" s="145">
        <f t="shared" si="4"/>
        <v>0</v>
      </c>
      <c r="J37" s="11"/>
      <c r="AF37" s="18"/>
    </row>
    <row r="38" spans="2:32" ht="13.8" thickBot="1" x14ac:dyDescent="0.3">
      <c r="B38" t="s">
        <v>336</v>
      </c>
      <c r="C38" s="215">
        <f>Invoertabblad!D43</f>
        <v>0</v>
      </c>
      <c r="D38" s="215">
        <f>Invoertabblad!E47</f>
        <v>0</v>
      </c>
      <c r="E38" s="26" t="s">
        <v>203</v>
      </c>
      <c r="F38" s="318" t="str">
        <f t="shared" si="3"/>
        <v/>
      </c>
      <c r="G38" s="318"/>
      <c r="H38" s="147">
        <f t="shared" si="5"/>
        <v>0</v>
      </c>
      <c r="I38" s="145">
        <f t="shared" si="4"/>
        <v>0</v>
      </c>
      <c r="J38" s="11"/>
      <c r="AF38" s="18"/>
    </row>
    <row r="39" spans="2:32" ht="13.8" thickBot="1" x14ac:dyDescent="0.3">
      <c r="B39" t="s">
        <v>327</v>
      </c>
      <c r="C39" s="215">
        <f>Invoertabblad!D42</f>
        <v>0</v>
      </c>
      <c r="D39" s="215">
        <f>Invoertabblad!E48</f>
        <v>0</v>
      </c>
      <c r="E39" s="26" t="s">
        <v>203</v>
      </c>
      <c r="F39" s="318" t="str">
        <f t="shared" si="3"/>
        <v/>
      </c>
      <c r="G39" s="322"/>
      <c r="H39" s="147">
        <f t="shared" si="5"/>
        <v>0</v>
      </c>
      <c r="I39" s="145">
        <f t="shared" si="4"/>
        <v>0</v>
      </c>
      <c r="J39" s="11"/>
      <c r="AF39" s="18"/>
    </row>
    <row r="40" spans="2:32" ht="13.8" thickBot="1" x14ac:dyDescent="0.3">
      <c r="B40" t="s">
        <v>337</v>
      </c>
      <c r="C40" s="215">
        <f>Invoertabblad!D44</f>
        <v>0</v>
      </c>
      <c r="D40" s="215">
        <f>Invoertabblad!E49</f>
        <v>0</v>
      </c>
      <c r="E40" s="26" t="s">
        <v>203</v>
      </c>
      <c r="F40" s="318" t="str">
        <f t="shared" si="3"/>
        <v/>
      </c>
      <c r="G40" s="323"/>
      <c r="H40" s="147">
        <f t="shared" si="5"/>
        <v>0</v>
      </c>
      <c r="I40" s="145">
        <f t="shared" si="4"/>
        <v>0</v>
      </c>
      <c r="J40" s="11"/>
      <c r="AF40" s="18"/>
    </row>
    <row r="41" spans="2:32" ht="13.8" thickBot="1" x14ac:dyDescent="0.3">
      <c r="B41" t="s">
        <v>338</v>
      </c>
      <c r="C41" s="215">
        <f>Invoertabblad!D45</f>
        <v>0</v>
      </c>
      <c r="D41" s="215">
        <f>Invoertabblad!E50</f>
        <v>0</v>
      </c>
      <c r="E41" s="26" t="s">
        <v>203</v>
      </c>
      <c r="F41" s="318" t="str">
        <f t="shared" si="3"/>
        <v/>
      </c>
      <c r="G41" s="330">
        <f>SUM(COUNTIF(F32:F41,"Gevaarlijk afval"))</f>
        <v>0</v>
      </c>
      <c r="H41" s="147">
        <f t="shared" si="5"/>
        <v>0</v>
      </c>
      <c r="I41" s="148">
        <f t="shared" si="4"/>
        <v>0</v>
      </c>
      <c r="J41" s="11"/>
      <c r="AF41" s="18"/>
    </row>
    <row r="42" spans="2:32" ht="13.8" thickBot="1" x14ac:dyDescent="0.3">
      <c r="B42" s="135" t="s">
        <v>434</v>
      </c>
      <c r="C42" s="215">
        <f>Invoertabblad!D51</f>
        <v>0</v>
      </c>
      <c r="D42" s="215">
        <f>Invoertabblad!E51</f>
        <v>0</v>
      </c>
      <c r="E42" s="26" t="s">
        <v>203</v>
      </c>
      <c r="F42" s="318" t="str">
        <f t="shared" si="3"/>
        <v/>
      </c>
      <c r="G42" s="330">
        <f>SUM(COUNTIF(F33:F42,"Gevaarlijk afval"))</f>
        <v>0</v>
      </c>
      <c r="H42" s="147"/>
      <c r="I42" s="148"/>
      <c r="J42" s="11"/>
      <c r="AF42" s="18"/>
    </row>
    <row r="43" spans="2:32" x14ac:dyDescent="0.25">
      <c r="C43" s="215"/>
      <c r="D43" s="215"/>
      <c r="G43" s="143"/>
      <c r="H43" s="11"/>
      <c r="I43" s="149"/>
      <c r="J43" s="11"/>
      <c r="AF43" s="18"/>
    </row>
    <row r="44" spans="2:32" ht="13.8" thickBot="1" x14ac:dyDescent="0.3">
      <c r="B44" s="8"/>
      <c r="C44" s="8"/>
      <c r="D44" s="135" t="s">
        <v>294</v>
      </c>
      <c r="E44" s="1" t="s">
        <v>295</v>
      </c>
      <c r="F44" s="11" t="s">
        <v>398</v>
      </c>
      <c r="H44" s="11" t="s">
        <v>353</v>
      </c>
      <c r="I44" s="149"/>
      <c r="J44" s="11"/>
      <c r="K44" s="11" t="s">
        <v>328</v>
      </c>
      <c r="AF44" s="18"/>
    </row>
    <row r="45" spans="2:32" ht="13.8" thickBot="1" x14ac:dyDescent="0.3">
      <c r="B45" s="22" t="s">
        <v>326</v>
      </c>
      <c r="C45" s="215">
        <f>Invoertabblad!D37</f>
        <v>0</v>
      </c>
      <c r="D45" s="215">
        <f>Invoertabblad!E37</f>
        <v>0</v>
      </c>
      <c r="E45" s="26" t="s">
        <v>203</v>
      </c>
      <c r="F45" s="326" t="str">
        <f>IF(AND(G41&gt;0,G46&gt;0),"gevaarlijk afval","geen gevaarlijk afval")</f>
        <v>geen gevaarlijk afval</v>
      </c>
      <c r="G45" s="318" t="str">
        <f>IF(D45=0,"",(IF(H45&gt;=K45,"Nadere beoordeling","OK")))</f>
        <v/>
      </c>
      <c r="H45" s="146">
        <f>D45/$D$10</f>
        <v>0</v>
      </c>
      <c r="I45" s="148">
        <f t="shared" ref="I45" si="6">H45/1000000*100</f>
        <v>0</v>
      </c>
      <c r="J45" s="11"/>
      <c r="K45" s="23">
        <v>1000</v>
      </c>
      <c r="O45" s="10"/>
      <c r="AF45" s="18"/>
    </row>
    <row r="46" spans="2:32" ht="13.8" thickBot="1" x14ac:dyDescent="0.3">
      <c r="B46" s="233" t="s">
        <v>521</v>
      </c>
      <c r="C46" s="215"/>
      <c r="D46" s="313">
        <f>Invoertabblad!E38</f>
        <v>0</v>
      </c>
      <c r="E46" s="26"/>
      <c r="F46" s="318"/>
      <c r="G46" s="324">
        <f>SUM(COUNTIF(G45, "Nadere beoordeling"))</f>
        <v>0</v>
      </c>
      <c r="H46" s="146"/>
      <c r="I46" s="148"/>
      <c r="J46" s="11"/>
      <c r="K46" s="23"/>
      <c r="O46" s="10"/>
      <c r="AF46" s="18"/>
    </row>
    <row r="47" spans="2:32" ht="13.8" thickBot="1" x14ac:dyDescent="0.3">
      <c r="B47" s="8" t="s">
        <v>523</v>
      </c>
      <c r="C47" s="215"/>
      <c r="D47" s="215"/>
      <c r="E47" s="26"/>
      <c r="F47" s="318" t="str">
        <f>IF(D46=0,"",(IF(D46="ja",AA216,"")))</f>
        <v/>
      </c>
      <c r="G47" s="322"/>
      <c r="H47" s="146"/>
      <c r="I47" s="149"/>
      <c r="J47" s="11"/>
      <c r="K47" s="23"/>
      <c r="AF47" s="18"/>
    </row>
    <row r="48" spans="2:32" ht="13.8" thickBot="1" x14ac:dyDescent="0.3">
      <c r="B48" s="8" t="s">
        <v>524</v>
      </c>
      <c r="C48" s="215"/>
      <c r="D48" s="215"/>
      <c r="E48" s="26"/>
      <c r="F48" s="325"/>
      <c r="G48" s="322"/>
      <c r="H48" s="146"/>
      <c r="I48" s="149"/>
      <c r="J48" s="11"/>
      <c r="K48" s="23"/>
      <c r="AF48" s="18"/>
    </row>
    <row r="49" spans="2:32" x14ac:dyDescent="0.25">
      <c r="B49" s="8"/>
      <c r="C49" s="8"/>
      <c r="D49" s="216"/>
      <c r="E49" s="26"/>
      <c r="F49" s="143"/>
      <c r="G49" s="143"/>
      <c r="H49" s="150"/>
      <c r="I49" s="149"/>
      <c r="J49" s="11"/>
      <c r="K49" s="24"/>
      <c r="AF49" s="18"/>
    </row>
    <row r="50" spans="2:32" ht="13.8" thickBot="1" x14ac:dyDescent="0.3">
      <c r="B50" s="22" t="s">
        <v>417</v>
      </c>
      <c r="C50" s="22"/>
      <c r="D50"/>
      <c r="F50" s="11" t="s">
        <v>354</v>
      </c>
      <c r="G50" s="143"/>
      <c r="H50" s="11"/>
      <c r="I50" s="149"/>
      <c r="J50" s="11"/>
      <c r="K50" s="24"/>
      <c r="AF50" s="18"/>
    </row>
    <row r="51" spans="2:32" ht="13.8" thickBot="1" x14ac:dyDescent="0.3">
      <c r="B51" s="8" t="s">
        <v>409</v>
      </c>
      <c r="C51" s="215">
        <f>Invoertabblad!D79</f>
        <v>0</v>
      </c>
      <c r="D51" s="215">
        <f>Invoertabblad!E79</f>
        <v>0</v>
      </c>
      <c r="E51" s="26" t="s">
        <v>203</v>
      </c>
      <c r="F51" s="329" t="str">
        <f t="shared" ref="F51:F57" si="7">IF(D51=0,"",(IF(H51&gt;=K51,"Nadere beoordeling uitvoeren","OK")))</f>
        <v/>
      </c>
      <c r="G51" s="318" t="str">
        <f t="shared" si="1"/>
        <v/>
      </c>
      <c r="H51" s="146">
        <f>D51/$D$10</f>
        <v>0</v>
      </c>
      <c r="I51" s="148">
        <f t="shared" ref="I51:I57" si="8">H51/1000000*100</f>
        <v>0</v>
      </c>
      <c r="J51" s="11"/>
      <c r="K51" s="1">
        <v>1000</v>
      </c>
      <c r="AF51" s="18"/>
    </row>
    <row r="52" spans="2:32" ht="13.8" thickBot="1" x14ac:dyDescent="0.3">
      <c r="B52" s="8" t="s">
        <v>412</v>
      </c>
      <c r="C52" s="215">
        <f>Invoertabblad!D80</f>
        <v>0</v>
      </c>
      <c r="D52" s="215">
        <f>Invoertabblad!E80</f>
        <v>0</v>
      </c>
      <c r="E52" s="26" t="s">
        <v>203</v>
      </c>
      <c r="F52" s="329" t="str">
        <f t="shared" si="7"/>
        <v/>
      </c>
      <c r="G52" s="318" t="str">
        <f t="shared" si="1"/>
        <v/>
      </c>
      <c r="H52" s="146">
        <f>D52/$D$10</f>
        <v>0</v>
      </c>
      <c r="I52" s="148">
        <f t="shared" si="8"/>
        <v>0</v>
      </c>
      <c r="J52" s="11"/>
      <c r="K52" s="1">
        <v>1000</v>
      </c>
      <c r="AF52" s="18"/>
    </row>
    <row r="53" spans="2:32" ht="13.8" hidden="1" thickBot="1" x14ac:dyDescent="0.3">
      <c r="B53" s="8" t="s">
        <v>297</v>
      </c>
      <c r="C53" s="215">
        <f>Invoertabblad!D97</f>
        <v>0</v>
      </c>
      <c r="D53" s="215">
        <f>Invoertabblad!E97</f>
        <v>0</v>
      </c>
      <c r="E53" s="26" t="s">
        <v>203</v>
      </c>
      <c r="F53" s="327" t="str">
        <f t="shared" si="7"/>
        <v/>
      </c>
      <c r="G53" s="328" t="str">
        <f t="shared" si="1"/>
        <v/>
      </c>
      <c r="H53" s="146">
        <f>D53/$D$10</f>
        <v>0</v>
      </c>
      <c r="I53" s="148">
        <f t="shared" si="8"/>
        <v>0</v>
      </c>
      <c r="J53" s="11"/>
      <c r="K53" s="1">
        <v>1000</v>
      </c>
      <c r="AF53" s="18"/>
    </row>
    <row r="54" spans="2:32" ht="13.8" thickBot="1" x14ac:dyDescent="0.3">
      <c r="B54" s="135" t="s">
        <v>416</v>
      </c>
      <c r="C54" s="215">
        <f>Invoertabblad!D74</f>
        <v>0</v>
      </c>
      <c r="D54" s="215">
        <f>Invoertabblad!E74</f>
        <v>0</v>
      </c>
      <c r="E54" s="26" t="s">
        <v>203</v>
      </c>
      <c r="F54" s="329" t="str">
        <f t="shared" si="7"/>
        <v/>
      </c>
      <c r="G54" s="318" t="str">
        <f t="shared" si="1"/>
        <v/>
      </c>
      <c r="H54" s="146">
        <f t="shared" ref="H54:H56" si="9">D54/$D$10</f>
        <v>0</v>
      </c>
      <c r="I54" s="148">
        <f t="shared" ref="I54:I56" si="10">H54/1000000*100</f>
        <v>0</v>
      </c>
      <c r="J54" s="11"/>
      <c r="K54" s="1">
        <v>1000</v>
      </c>
      <c r="AF54" s="18"/>
    </row>
    <row r="55" spans="2:32" ht="13.8" thickBot="1" x14ac:dyDescent="0.3">
      <c r="B55" s="135" t="s">
        <v>421</v>
      </c>
      <c r="C55" s="215">
        <f>Invoertabblad!D85</f>
        <v>0</v>
      </c>
      <c r="D55" s="215">
        <f>Invoertabblad!E85</f>
        <v>0</v>
      </c>
      <c r="E55" s="26" t="s">
        <v>203</v>
      </c>
      <c r="F55" s="329" t="str">
        <f t="shared" si="7"/>
        <v/>
      </c>
      <c r="G55" s="318" t="str">
        <f t="shared" si="1"/>
        <v/>
      </c>
      <c r="H55" s="146">
        <f t="shared" si="9"/>
        <v>0</v>
      </c>
      <c r="I55" s="148">
        <f t="shared" si="10"/>
        <v>0</v>
      </c>
      <c r="J55" s="11"/>
      <c r="K55" s="1">
        <v>1000</v>
      </c>
      <c r="AF55" s="18"/>
    </row>
    <row r="56" spans="2:32" ht="13.8" thickBot="1" x14ac:dyDescent="0.3">
      <c r="B56" s="135" t="s">
        <v>420</v>
      </c>
      <c r="C56" s="215">
        <f>Invoertabblad!D86</f>
        <v>0</v>
      </c>
      <c r="D56" s="215">
        <f>Invoertabblad!E86</f>
        <v>0</v>
      </c>
      <c r="E56" s="26" t="s">
        <v>203</v>
      </c>
      <c r="F56" s="329" t="str">
        <f t="shared" si="7"/>
        <v/>
      </c>
      <c r="G56" s="318" t="str">
        <f t="shared" si="1"/>
        <v/>
      </c>
      <c r="H56" s="146">
        <f t="shared" si="9"/>
        <v>0</v>
      </c>
      <c r="I56" s="148">
        <f t="shared" si="10"/>
        <v>0</v>
      </c>
      <c r="J56" s="11"/>
      <c r="K56" s="1">
        <v>1000</v>
      </c>
      <c r="AF56" s="18"/>
    </row>
    <row r="57" spans="2:32" ht="13.8" thickBot="1" x14ac:dyDescent="0.3">
      <c r="B57" s="8" t="s">
        <v>358</v>
      </c>
      <c r="C57" s="215">
        <f>Invoertabblad!D94</f>
        <v>0</v>
      </c>
      <c r="D57" s="215">
        <f>Invoertabblad!E94</f>
        <v>0</v>
      </c>
      <c r="E57" s="26" t="s">
        <v>203</v>
      </c>
      <c r="F57" s="327" t="str">
        <f t="shared" si="7"/>
        <v/>
      </c>
      <c r="G57" s="321" t="str">
        <f t="shared" si="1"/>
        <v/>
      </c>
      <c r="H57" s="146">
        <f>D57/$D$10</f>
        <v>0</v>
      </c>
      <c r="I57" s="148">
        <f t="shared" si="8"/>
        <v>0</v>
      </c>
      <c r="J57" s="11"/>
      <c r="K57" s="1">
        <v>1000</v>
      </c>
      <c r="AF57" s="18"/>
    </row>
    <row r="58" spans="2:32" x14ac:dyDescent="0.25">
      <c r="B58" s="8"/>
      <c r="C58" s="8"/>
      <c r="D58"/>
      <c r="F58" s="24"/>
      <c r="G58" s="143"/>
      <c r="H58" s="143"/>
      <c r="I58" s="149"/>
      <c r="J58" s="11"/>
      <c r="AF58" s="18"/>
    </row>
    <row r="59" spans="2:32" x14ac:dyDescent="0.25">
      <c r="D59"/>
      <c r="G59" s="143"/>
      <c r="H59" s="145"/>
      <c r="I59" s="149"/>
      <c r="J59" s="11"/>
      <c r="AF59" s="18"/>
    </row>
    <row r="60" spans="2:32" ht="13.8" thickBot="1" x14ac:dyDescent="0.3">
      <c r="B60" s="25" t="s">
        <v>293</v>
      </c>
      <c r="C60" s="25"/>
      <c r="D60" s="135" t="s">
        <v>294</v>
      </c>
      <c r="E60" s="1" t="s">
        <v>295</v>
      </c>
      <c r="F60" s="11" t="s">
        <v>399</v>
      </c>
      <c r="G60" s="143"/>
      <c r="H60" s="11"/>
      <c r="I60" s="149"/>
      <c r="J60" s="11"/>
      <c r="K60" s="1" t="s">
        <v>296</v>
      </c>
      <c r="AF60" s="18"/>
    </row>
    <row r="61" spans="2:32" ht="13.8" thickBot="1" x14ac:dyDescent="0.3">
      <c r="B61" s="6" t="s">
        <v>297</v>
      </c>
      <c r="C61" s="215">
        <f>Invoertabblad!D98</f>
        <v>0</v>
      </c>
      <c r="D61" s="215">
        <f>Invoertabblad!E98</f>
        <v>0</v>
      </c>
      <c r="E61" s="26" t="s">
        <v>203</v>
      </c>
      <c r="F61" s="329" t="str">
        <f>IF(D61=0,"",(IF(D61&gt;=K61,"Gevaarlijk afval","OK")))</f>
        <v/>
      </c>
      <c r="G61" s="318" t="str">
        <f t="shared" si="1"/>
        <v/>
      </c>
      <c r="H61" s="11"/>
      <c r="I61" s="149"/>
      <c r="J61" s="135"/>
      <c r="K61" s="27">
        <v>50</v>
      </c>
      <c r="L61"/>
      <c r="M61"/>
      <c r="AF61" s="18"/>
    </row>
    <row r="62" spans="2:32" ht="13.8" thickBot="1" x14ac:dyDescent="0.3">
      <c r="B62" s="6" t="s">
        <v>298</v>
      </c>
      <c r="C62" s="215">
        <f>Invoertabblad!D75</f>
        <v>0</v>
      </c>
      <c r="D62" s="215">
        <f>Invoertabblad!E75</f>
        <v>0</v>
      </c>
      <c r="E62" s="26" t="s">
        <v>203</v>
      </c>
      <c r="F62" s="329" t="str">
        <f t="shared" ref="F62:F63" si="11">IF(D62=0,"",(IF(D62&gt;=K62,"Gevaarlijk afval","OK")))</f>
        <v/>
      </c>
      <c r="G62" s="318" t="str">
        <f t="shared" si="1"/>
        <v/>
      </c>
      <c r="H62" s="11"/>
      <c r="I62" s="149"/>
      <c r="J62" s="11"/>
      <c r="K62" s="27">
        <v>100</v>
      </c>
      <c r="AF62" s="18"/>
    </row>
    <row r="63" spans="2:32" ht="13.8" thickBot="1" x14ac:dyDescent="0.3">
      <c r="B63" s="6" t="s">
        <v>299</v>
      </c>
      <c r="C63" s="215">
        <f>Invoertabblad!D99</f>
        <v>0</v>
      </c>
      <c r="D63" s="215">
        <f>Invoertabblad!E99</f>
        <v>0</v>
      </c>
      <c r="E63" s="26" t="s">
        <v>203</v>
      </c>
      <c r="F63" s="329" t="str">
        <f t="shared" si="11"/>
        <v/>
      </c>
      <c r="G63" s="318" t="str">
        <f t="shared" si="1"/>
        <v/>
      </c>
      <c r="H63" s="11"/>
      <c r="I63" s="11"/>
      <c r="J63" s="11"/>
      <c r="K63" s="27">
        <v>10</v>
      </c>
      <c r="AF63" s="18"/>
    </row>
    <row r="64" spans="2:32" ht="13.8" thickBot="1" x14ac:dyDescent="0.3">
      <c r="B64" s="6" t="s">
        <v>300</v>
      </c>
      <c r="C64" s="215">
        <f>Invoertabblad!D100</f>
        <v>0</v>
      </c>
      <c r="D64" s="215">
        <f>Invoertabblad!E100</f>
        <v>0</v>
      </c>
      <c r="E64" s="26" t="s">
        <v>203</v>
      </c>
      <c r="F64" s="329" t="str">
        <f>IF(D64=0,"",(IF(D64&gt;=K64,"Gevaarlijk afval","OK")))</f>
        <v/>
      </c>
      <c r="G64" s="318" t="str">
        <f t="shared" si="1"/>
        <v/>
      </c>
      <c r="H64" s="11"/>
      <c r="I64" s="11"/>
      <c r="J64" s="11"/>
      <c r="K64" s="27">
        <v>1500</v>
      </c>
      <c r="AF64" s="18"/>
    </row>
    <row r="65" spans="2:32" x14ac:dyDescent="0.25">
      <c r="B65" s="6" t="s">
        <v>301</v>
      </c>
      <c r="C65" s="215">
        <f>Invoertabblad!D101</f>
        <v>0</v>
      </c>
      <c r="D65" s="215">
        <f>Invoertabblad!E101</f>
        <v>0</v>
      </c>
      <c r="E65" s="26" t="s">
        <v>203</v>
      </c>
      <c r="H65" s="11"/>
      <c r="I65" s="11"/>
      <c r="J65" s="11"/>
      <c r="K65" s="27"/>
      <c r="AF65" s="18"/>
    </row>
    <row r="66" spans="2:32" x14ac:dyDescent="0.25">
      <c r="B66" s="6" t="s">
        <v>302</v>
      </c>
      <c r="C66" s="215">
        <f>Invoertabblad!D102</f>
        <v>0</v>
      </c>
      <c r="D66" s="215">
        <f>Invoertabblad!E102</f>
        <v>0</v>
      </c>
      <c r="E66" s="26" t="s">
        <v>203</v>
      </c>
      <c r="H66" s="11"/>
      <c r="I66" s="11"/>
      <c r="J66" s="11"/>
      <c r="K66" s="27"/>
      <c r="AF66" s="18"/>
    </row>
    <row r="67" spans="2:32" x14ac:dyDescent="0.25">
      <c r="B67" s="6" t="s">
        <v>303</v>
      </c>
      <c r="C67" s="215">
        <f>Invoertabblad!D103</f>
        <v>0</v>
      </c>
      <c r="D67" s="215">
        <f>Invoertabblad!E103</f>
        <v>0</v>
      </c>
      <c r="E67" s="26" t="s">
        <v>203</v>
      </c>
      <c r="H67" s="11"/>
      <c r="I67" s="11"/>
      <c r="J67" s="11"/>
      <c r="K67" s="27"/>
      <c r="AF67" s="18"/>
    </row>
    <row r="68" spans="2:32" ht="13.8" thickBot="1" x14ac:dyDescent="0.3">
      <c r="B68" s="6" t="s">
        <v>304</v>
      </c>
      <c r="C68" s="215">
        <f>Invoertabblad!D104</f>
        <v>0</v>
      </c>
      <c r="D68" s="215">
        <f>Invoertabblad!E104</f>
        <v>0</v>
      </c>
      <c r="E68" s="26" t="s">
        <v>203</v>
      </c>
      <c r="H68" s="11"/>
      <c r="I68" s="11"/>
      <c r="J68" s="11"/>
      <c r="K68" s="28" t="s">
        <v>305</v>
      </c>
      <c r="AF68" s="18"/>
    </row>
    <row r="69" spans="2:32" ht="13.8" thickBot="1" x14ac:dyDescent="0.3">
      <c r="B69" s="6" t="s">
        <v>306</v>
      </c>
      <c r="C69" s="215">
        <f>Invoertabblad!D105</f>
        <v>0</v>
      </c>
      <c r="D69" s="215">
        <f>Invoertabblad!E105</f>
        <v>0</v>
      </c>
      <c r="E69" s="26" t="s">
        <v>203</v>
      </c>
      <c r="F69" s="329" t="str">
        <f>IF(D65=0,"",(IF(SUM(D65:D69)&gt;=K69,"Gevaarlijk afval","OK")))</f>
        <v/>
      </c>
      <c r="G69" s="318"/>
      <c r="H69" s="11"/>
      <c r="I69" s="11"/>
      <c r="J69" s="11"/>
      <c r="K69" s="27">
        <v>500</v>
      </c>
      <c r="AF69" s="18"/>
    </row>
    <row r="70" spans="2:32" ht="13.8" thickBot="1" x14ac:dyDescent="0.3">
      <c r="B70" s="6" t="s">
        <v>307</v>
      </c>
      <c r="C70" s="215">
        <f>Invoertabblad!D148</f>
        <v>0</v>
      </c>
      <c r="D70" s="215">
        <f>Invoertabblad!E148/1000</f>
        <v>0</v>
      </c>
      <c r="E70" s="26" t="s">
        <v>203</v>
      </c>
      <c r="F70" s="329" t="str">
        <f>IF(D70=0,"",(IF(D70&gt;=K70,"Gevaarlijk afval","OK")))</f>
        <v/>
      </c>
      <c r="G70" s="318"/>
      <c r="H70" s="11"/>
      <c r="I70" s="11"/>
      <c r="J70" s="11"/>
      <c r="K70" s="27">
        <v>50</v>
      </c>
      <c r="AF70" s="18"/>
    </row>
    <row r="71" spans="2:32" ht="13.8" thickBot="1" x14ac:dyDescent="0.3">
      <c r="B71" s="6" t="s">
        <v>308</v>
      </c>
      <c r="C71" s="215">
        <f>Invoertabblad!D106</f>
        <v>0</v>
      </c>
      <c r="D71" s="215">
        <f>Invoertabblad!E106</f>
        <v>0</v>
      </c>
      <c r="E71" s="29" t="s">
        <v>400</v>
      </c>
      <c r="F71" s="329" t="str">
        <f t="shared" ref="F71:F92" si="12">IF(D71=0,"",(IF(D71&gt;=K71,"Gevaarlijk afval","OK")))</f>
        <v/>
      </c>
      <c r="G71" s="318"/>
      <c r="H71" s="11"/>
      <c r="I71" s="11"/>
      <c r="J71" s="11"/>
      <c r="K71" s="27">
        <v>5</v>
      </c>
      <c r="AF71" s="18"/>
    </row>
    <row r="72" spans="2:32" ht="13.8" thickBot="1" x14ac:dyDescent="0.3">
      <c r="B72" s="6" t="s">
        <v>309</v>
      </c>
      <c r="C72" s="215">
        <f>Invoertabblad!D84</f>
        <v>0</v>
      </c>
      <c r="D72" s="215">
        <f>Invoertabblad!E84</f>
        <v>0</v>
      </c>
      <c r="E72" s="26" t="s">
        <v>203</v>
      </c>
      <c r="F72" s="329" t="str">
        <f t="shared" si="12"/>
        <v/>
      </c>
      <c r="G72" s="318"/>
      <c r="H72" s="11"/>
      <c r="I72" s="11"/>
      <c r="J72" s="11"/>
      <c r="K72" s="27">
        <v>50</v>
      </c>
      <c r="AF72" s="18"/>
    </row>
    <row r="73" spans="2:32" ht="13.8" thickBot="1" x14ac:dyDescent="0.3">
      <c r="B73" s="6" t="s">
        <v>418</v>
      </c>
      <c r="C73" s="215">
        <f>Invoertabblad!D83</f>
        <v>0</v>
      </c>
      <c r="D73" s="215">
        <f>Invoertabblad!E83</f>
        <v>0</v>
      </c>
      <c r="E73" s="26" t="s">
        <v>203</v>
      </c>
      <c r="F73" s="329" t="str">
        <f t="shared" si="12"/>
        <v/>
      </c>
      <c r="G73" s="318"/>
      <c r="H73" s="11"/>
      <c r="I73" s="11"/>
      <c r="J73" s="11"/>
      <c r="K73" s="27">
        <v>50</v>
      </c>
      <c r="AF73" s="18"/>
    </row>
    <row r="74" spans="2:32" ht="13.8" thickBot="1" x14ac:dyDescent="0.3">
      <c r="B74" s="6" t="s">
        <v>419</v>
      </c>
      <c r="C74" s="215">
        <f>Invoertabblad!D87</f>
        <v>0</v>
      </c>
      <c r="D74" s="215">
        <f>Invoertabblad!E87</f>
        <v>0</v>
      </c>
      <c r="E74" s="26" t="s">
        <v>203</v>
      </c>
      <c r="F74" s="329" t="str">
        <f t="shared" si="12"/>
        <v/>
      </c>
      <c r="G74" s="318"/>
      <c r="H74" s="11"/>
      <c r="I74" s="11"/>
      <c r="J74" s="11"/>
      <c r="K74" s="27">
        <v>50</v>
      </c>
      <c r="AF74" s="18"/>
    </row>
    <row r="75" spans="2:32" ht="13.8" thickBot="1" x14ac:dyDescent="0.3">
      <c r="B75" s="6" t="s">
        <v>310</v>
      </c>
      <c r="C75" s="215">
        <f>Invoertabblad!D77</f>
        <v>0</v>
      </c>
      <c r="D75" s="215">
        <f>Invoertabblad!E77</f>
        <v>0</v>
      </c>
      <c r="E75" s="26" t="s">
        <v>203</v>
      </c>
      <c r="F75" s="329" t="str">
        <f t="shared" si="12"/>
        <v/>
      </c>
      <c r="G75" s="318"/>
      <c r="H75" s="11"/>
      <c r="I75" s="11"/>
      <c r="J75" s="11"/>
      <c r="K75" s="27">
        <v>50</v>
      </c>
      <c r="AF75" s="18"/>
    </row>
    <row r="76" spans="2:32" ht="13.8" thickBot="1" x14ac:dyDescent="0.3">
      <c r="B76" s="6" t="s">
        <v>311</v>
      </c>
      <c r="C76" s="215">
        <f>Invoertabblad!D78</f>
        <v>0</v>
      </c>
      <c r="D76" s="215">
        <f>Invoertabblad!E78</f>
        <v>0</v>
      </c>
      <c r="E76" s="26" t="s">
        <v>203</v>
      </c>
      <c r="F76" s="329" t="str">
        <f t="shared" si="12"/>
        <v/>
      </c>
      <c r="G76" s="318"/>
      <c r="H76" s="11"/>
      <c r="I76" s="11"/>
      <c r="J76" s="11"/>
      <c r="K76" s="27">
        <v>50</v>
      </c>
      <c r="AF76" s="18"/>
    </row>
    <row r="77" spans="2:32" ht="13.8" thickBot="1" x14ac:dyDescent="0.3">
      <c r="B77" s="6" t="s">
        <v>312</v>
      </c>
      <c r="C77" s="215">
        <f>Invoertabblad!D73</f>
        <v>0</v>
      </c>
      <c r="D77" s="215">
        <f>Invoertabblad!E73</f>
        <v>0</v>
      </c>
      <c r="E77" s="26" t="s">
        <v>203</v>
      </c>
      <c r="F77" s="329" t="str">
        <f t="shared" si="12"/>
        <v/>
      </c>
      <c r="G77" s="318"/>
      <c r="H77" s="11"/>
      <c r="I77" s="11"/>
      <c r="J77" s="11"/>
      <c r="K77" s="27">
        <v>50</v>
      </c>
      <c r="AF77" s="18"/>
    </row>
    <row r="78" spans="2:32" ht="13.8" thickBot="1" x14ac:dyDescent="0.3">
      <c r="B78" s="6" t="s">
        <v>313</v>
      </c>
      <c r="C78" s="215">
        <f>Invoertabblad!D72</f>
        <v>0</v>
      </c>
      <c r="D78" s="215">
        <f>Invoertabblad!E72</f>
        <v>0</v>
      </c>
      <c r="E78" s="26" t="s">
        <v>203</v>
      </c>
      <c r="F78" s="329" t="str">
        <f t="shared" si="12"/>
        <v/>
      </c>
      <c r="G78" s="318"/>
      <c r="H78" s="11"/>
      <c r="I78" s="11"/>
      <c r="J78" s="11"/>
      <c r="K78" s="27">
        <v>50</v>
      </c>
      <c r="AF78" s="18"/>
    </row>
    <row r="79" spans="2:32" ht="13.8" thickBot="1" x14ac:dyDescent="0.3">
      <c r="B79" s="6" t="s">
        <v>314</v>
      </c>
      <c r="C79" s="215">
        <f>Invoertabblad!D107</f>
        <v>0</v>
      </c>
      <c r="D79" s="215">
        <f>Invoertabblad!E107</f>
        <v>0</v>
      </c>
      <c r="E79" s="26" t="s">
        <v>203</v>
      </c>
      <c r="F79" s="329" t="str">
        <f t="shared" si="12"/>
        <v/>
      </c>
      <c r="G79" s="318"/>
      <c r="H79" s="11"/>
      <c r="I79" s="11"/>
      <c r="J79" s="11"/>
      <c r="K79" s="27">
        <v>50</v>
      </c>
      <c r="AF79" s="18"/>
    </row>
    <row r="80" spans="2:32" ht="13.8" thickBot="1" x14ac:dyDescent="0.3">
      <c r="B80" s="6" t="s">
        <v>315</v>
      </c>
      <c r="C80" s="215">
        <f>Invoertabblad!D76</f>
        <v>0</v>
      </c>
      <c r="D80" s="215">
        <f>Invoertabblad!E76</f>
        <v>0</v>
      </c>
      <c r="E80" s="26" t="s">
        <v>203</v>
      </c>
      <c r="F80" s="329" t="str">
        <f t="shared" si="12"/>
        <v/>
      </c>
      <c r="G80" s="318"/>
      <c r="H80" s="11"/>
      <c r="I80" s="11"/>
      <c r="J80" s="11"/>
      <c r="K80" s="27">
        <v>50</v>
      </c>
      <c r="AF80" s="18"/>
    </row>
    <row r="81" spans="2:32" ht="13.8" thickBot="1" x14ac:dyDescent="0.3">
      <c r="B81" s="6" t="s">
        <v>316</v>
      </c>
      <c r="C81" s="215">
        <f>Invoertabblad!D63</f>
        <v>0</v>
      </c>
      <c r="D81" s="215">
        <f>Invoertabblad!E63</f>
        <v>0</v>
      </c>
      <c r="E81" s="26" t="s">
        <v>203</v>
      </c>
      <c r="F81" s="329" t="str">
        <f t="shared" si="12"/>
        <v/>
      </c>
      <c r="G81" s="318"/>
      <c r="H81" s="11"/>
      <c r="I81" s="11"/>
      <c r="J81" s="11"/>
      <c r="K81" s="27">
        <v>50</v>
      </c>
      <c r="AF81" s="18"/>
    </row>
    <row r="82" spans="2:32" ht="13.8" thickBot="1" x14ac:dyDescent="0.3">
      <c r="B82" s="6" t="s">
        <v>316</v>
      </c>
      <c r="C82" s="215">
        <f>Invoertabblad!D61</f>
        <v>0</v>
      </c>
      <c r="D82" s="215">
        <f>Invoertabblad!E61</f>
        <v>0</v>
      </c>
      <c r="E82" s="26" t="s">
        <v>203</v>
      </c>
      <c r="F82" s="329" t="str">
        <f t="shared" si="12"/>
        <v/>
      </c>
      <c r="G82" s="318"/>
      <c r="H82" s="11"/>
      <c r="I82" s="11"/>
      <c r="J82" s="11"/>
      <c r="K82" s="27">
        <v>50</v>
      </c>
      <c r="AF82" s="18"/>
    </row>
    <row r="83" spans="2:32" ht="13.8" thickBot="1" x14ac:dyDescent="0.3">
      <c r="B83" s="6" t="s">
        <v>316</v>
      </c>
      <c r="C83" s="215">
        <f>Invoertabblad!D108</f>
        <v>0</v>
      </c>
      <c r="D83" s="215">
        <f>Invoertabblad!E108</f>
        <v>0</v>
      </c>
      <c r="E83" s="26" t="s">
        <v>203</v>
      </c>
      <c r="F83" s="329" t="str">
        <f t="shared" si="12"/>
        <v/>
      </c>
      <c r="G83" s="318"/>
      <c r="H83" s="11"/>
      <c r="I83" s="11"/>
      <c r="J83" s="11"/>
      <c r="K83" s="27">
        <v>50</v>
      </c>
      <c r="AF83" s="18"/>
    </row>
    <row r="84" spans="2:32" ht="13.8" thickBot="1" x14ac:dyDescent="0.3">
      <c r="B84" s="6" t="s">
        <v>316</v>
      </c>
      <c r="C84" s="215">
        <f>Invoertabblad!D109</f>
        <v>0</v>
      </c>
      <c r="D84" s="215">
        <f>Invoertabblad!E109</f>
        <v>0</v>
      </c>
      <c r="E84" s="26" t="s">
        <v>203</v>
      </c>
      <c r="F84" s="329" t="str">
        <f t="shared" si="12"/>
        <v/>
      </c>
      <c r="G84" s="318"/>
      <c r="H84" s="11"/>
      <c r="I84" s="11"/>
      <c r="J84" s="11"/>
      <c r="K84" s="27">
        <v>50</v>
      </c>
      <c r="AF84" s="18"/>
    </row>
    <row r="85" spans="2:32" ht="13.8" thickBot="1" x14ac:dyDescent="0.3">
      <c r="B85" s="6" t="s">
        <v>316</v>
      </c>
      <c r="C85" s="215">
        <f>Invoertabblad!D110</f>
        <v>0</v>
      </c>
      <c r="D85" s="215">
        <f>Invoertabblad!E110</f>
        <v>0</v>
      </c>
      <c r="E85" s="26" t="s">
        <v>203</v>
      </c>
      <c r="F85" s="329" t="str">
        <f t="shared" si="12"/>
        <v/>
      </c>
      <c r="G85" s="318"/>
      <c r="H85" s="11"/>
      <c r="I85" s="11"/>
      <c r="J85" s="11"/>
      <c r="K85" s="27">
        <v>50</v>
      </c>
      <c r="AF85" s="18"/>
    </row>
    <row r="86" spans="2:32" ht="13.8" thickBot="1" x14ac:dyDescent="0.3">
      <c r="B86" s="6" t="s">
        <v>316</v>
      </c>
      <c r="C86" s="215">
        <f>Invoertabblad!D111</f>
        <v>0</v>
      </c>
      <c r="D86" s="215">
        <f>Invoertabblad!E111</f>
        <v>0</v>
      </c>
      <c r="E86" s="26" t="s">
        <v>203</v>
      </c>
      <c r="F86" s="329" t="str">
        <f t="shared" si="12"/>
        <v/>
      </c>
      <c r="G86" s="318"/>
      <c r="H86" s="11"/>
      <c r="I86" s="11"/>
      <c r="J86" s="11"/>
      <c r="K86" s="27">
        <v>500</v>
      </c>
      <c r="AF86" s="18"/>
    </row>
    <row r="87" spans="2:32" ht="13.8" thickBot="1" x14ac:dyDescent="0.3">
      <c r="B87" s="6" t="s">
        <v>316</v>
      </c>
      <c r="C87" s="215">
        <f>Invoertabblad!D65</f>
        <v>0</v>
      </c>
      <c r="D87" s="215">
        <f>Invoertabblad!E65</f>
        <v>0</v>
      </c>
      <c r="E87" s="26" t="s">
        <v>203</v>
      </c>
      <c r="F87" s="329" t="str">
        <f t="shared" si="12"/>
        <v/>
      </c>
      <c r="G87" s="318"/>
      <c r="H87" s="11"/>
      <c r="I87" s="11"/>
      <c r="J87" s="11"/>
      <c r="K87" s="27">
        <v>100</v>
      </c>
      <c r="AF87" s="18"/>
    </row>
    <row r="88" spans="2:32" ht="13.8" thickBot="1" x14ac:dyDescent="0.3">
      <c r="B88" s="6" t="s">
        <v>316</v>
      </c>
      <c r="C88" s="215">
        <f>Invoertabblad!D112</f>
        <v>0</v>
      </c>
      <c r="D88" s="215">
        <f>Invoertabblad!E112</f>
        <v>0</v>
      </c>
      <c r="E88" s="26" t="s">
        <v>203</v>
      </c>
      <c r="F88" s="329" t="str">
        <f t="shared" si="12"/>
        <v/>
      </c>
      <c r="G88" s="318"/>
      <c r="H88" s="11"/>
      <c r="I88" s="11"/>
      <c r="J88" s="11"/>
      <c r="K88" s="27">
        <v>50</v>
      </c>
      <c r="AF88" s="18"/>
    </row>
    <row r="89" spans="2:32" ht="13.8" thickBot="1" x14ac:dyDescent="0.3">
      <c r="B89" s="6" t="s">
        <v>316</v>
      </c>
      <c r="C89" s="215">
        <f>Invoertabblad!D146</f>
        <v>0</v>
      </c>
      <c r="D89" s="215">
        <f>Invoertabblad!E146/1000</f>
        <v>0</v>
      </c>
      <c r="E89" s="26" t="s">
        <v>203</v>
      </c>
      <c r="F89" s="329" t="str">
        <f t="shared" si="12"/>
        <v/>
      </c>
      <c r="G89" s="318"/>
      <c r="H89" s="11"/>
      <c r="I89" s="11"/>
      <c r="J89" s="11"/>
      <c r="K89" s="27">
        <v>1</v>
      </c>
      <c r="AF89" s="18"/>
    </row>
    <row r="90" spans="2:32" ht="13.8" hidden="1" thickBot="1" x14ac:dyDescent="0.3">
      <c r="B90" s="6" t="s">
        <v>316</v>
      </c>
      <c r="C90" s="215" t="e">
        <f>Invoertabblad!#REF!</f>
        <v>#REF!</v>
      </c>
      <c r="D90" s="215" t="e">
        <f>Invoertabblad!#REF!</f>
        <v>#REF!</v>
      </c>
      <c r="E90" s="26" t="s">
        <v>203</v>
      </c>
      <c r="F90" s="329" t="e">
        <f t="shared" si="12"/>
        <v>#REF!</v>
      </c>
      <c r="G90" s="318"/>
      <c r="H90" s="11"/>
      <c r="I90" s="11"/>
      <c r="J90" s="11"/>
      <c r="K90" s="27">
        <v>40</v>
      </c>
      <c r="AF90" s="18"/>
    </row>
    <row r="91" spans="2:32" ht="13.8" thickBot="1" x14ac:dyDescent="0.3">
      <c r="B91" s="6" t="s">
        <v>316</v>
      </c>
      <c r="C91" s="215">
        <f>Invoertabblad!D147</f>
        <v>0</v>
      </c>
      <c r="D91" s="215">
        <f>Invoertabblad!E147/1000</f>
        <v>0</v>
      </c>
      <c r="E91" s="26" t="s">
        <v>203</v>
      </c>
      <c r="F91" s="329" t="str">
        <f t="shared" si="12"/>
        <v/>
      </c>
      <c r="G91" s="318"/>
      <c r="H91" s="11"/>
      <c r="I91" s="11"/>
      <c r="J91" s="11"/>
      <c r="K91" s="27">
        <v>1</v>
      </c>
      <c r="AF91" s="18"/>
    </row>
    <row r="92" spans="2:32" ht="13.8" hidden="1" thickBot="1" x14ac:dyDescent="0.3">
      <c r="B92" s="6" t="s">
        <v>316</v>
      </c>
      <c r="C92" s="215" t="e">
        <f>Invoertabblad!#REF!</f>
        <v>#REF!</v>
      </c>
      <c r="D92" s="215" t="e">
        <f>Invoertabblad!#REF!</f>
        <v>#REF!</v>
      </c>
      <c r="E92" s="26" t="s">
        <v>203</v>
      </c>
      <c r="F92" s="327" t="e">
        <f t="shared" si="12"/>
        <v>#REF!</v>
      </c>
      <c r="G92" s="321"/>
      <c r="H92" s="11"/>
      <c r="I92" s="11"/>
      <c r="J92" s="11"/>
      <c r="K92" s="27">
        <v>40</v>
      </c>
      <c r="AF92" s="18"/>
    </row>
    <row r="93" spans="2:32" x14ac:dyDescent="0.25">
      <c r="D93"/>
      <c r="H93" s="11"/>
      <c r="I93" s="11"/>
      <c r="J93" s="11"/>
      <c r="AF93" s="18"/>
    </row>
    <row r="94" spans="2:32" x14ac:dyDescent="0.25">
      <c r="B94" s="25" t="s">
        <v>423</v>
      </c>
      <c r="C94" s="25"/>
      <c r="D94"/>
      <c r="H94" s="11"/>
      <c r="I94" s="11"/>
      <c r="J94" s="11"/>
      <c r="AF94" s="18"/>
    </row>
    <row r="95" spans="2:32" x14ac:dyDescent="0.25">
      <c r="B95" s="30" t="s">
        <v>362</v>
      </c>
      <c r="C95" s="215">
        <f>Invoertabblad!D115</f>
        <v>0</v>
      </c>
      <c r="D95" s="215">
        <f>Invoertabblad!E115</f>
        <v>0</v>
      </c>
      <c r="E95" s="29" t="s">
        <v>400</v>
      </c>
      <c r="H95" s="11"/>
      <c r="I95" s="11"/>
      <c r="J95" s="11"/>
      <c r="AF95" s="18"/>
    </row>
    <row r="96" spans="2:32" x14ac:dyDescent="0.25">
      <c r="B96" s="30" t="s">
        <v>363</v>
      </c>
      <c r="C96" s="215">
        <f>Invoertabblad!D116</f>
        <v>0</v>
      </c>
      <c r="D96" s="215">
        <f>Invoertabblad!E116</f>
        <v>0</v>
      </c>
      <c r="E96" s="29" t="s">
        <v>400</v>
      </c>
      <c r="H96" s="11"/>
      <c r="I96" s="11"/>
      <c r="J96" s="11"/>
      <c r="AF96" s="18"/>
    </row>
    <row r="97" spans="2:32" x14ac:dyDescent="0.25">
      <c r="B97" s="30" t="s">
        <v>364</v>
      </c>
      <c r="C97" s="215">
        <f>Invoertabblad!D117</f>
        <v>0</v>
      </c>
      <c r="D97" s="215">
        <f>Invoertabblad!E117</f>
        <v>0</v>
      </c>
      <c r="E97" s="29" t="s">
        <v>400</v>
      </c>
      <c r="H97" s="11"/>
      <c r="I97" s="11"/>
      <c r="J97" s="11"/>
      <c r="AF97" s="18"/>
    </row>
    <row r="98" spans="2:32" x14ac:dyDescent="0.25">
      <c r="B98" s="30" t="s">
        <v>365</v>
      </c>
      <c r="C98" s="215">
        <f>Invoertabblad!D118</f>
        <v>0</v>
      </c>
      <c r="D98" s="215">
        <f>Invoertabblad!E118</f>
        <v>0</v>
      </c>
      <c r="E98" s="29" t="s">
        <v>400</v>
      </c>
      <c r="H98" s="11"/>
      <c r="I98" s="11"/>
      <c r="J98" s="11"/>
      <c r="AF98" s="18"/>
    </row>
    <row r="99" spans="2:32" x14ac:dyDescent="0.25">
      <c r="B99" s="30" t="s">
        <v>366</v>
      </c>
      <c r="C99" s="215">
        <f>Invoertabblad!D119</f>
        <v>0</v>
      </c>
      <c r="D99" s="215">
        <f>Invoertabblad!E119</f>
        <v>0</v>
      </c>
      <c r="E99" s="29" t="s">
        <v>400</v>
      </c>
      <c r="H99" s="11"/>
      <c r="I99" s="11"/>
      <c r="J99" s="11"/>
      <c r="AF99" s="18"/>
    </row>
    <row r="100" spans="2:32" x14ac:dyDescent="0.25">
      <c r="B100" s="30" t="s">
        <v>367</v>
      </c>
      <c r="C100" s="215">
        <f>Invoertabblad!D120</f>
        <v>0</v>
      </c>
      <c r="D100" s="215">
        <f>Invoertabblad!E120</f>
        <v>0</v>
      </c>
      <c r="E100" s="29" t="s">
        <v>400</v>
      </c>
      <c r="H100" s="11"/>
      <c r="I100" s="11"/>
      <c r="J100" s="11"/>
      <c r="AF100" s="18"/>
    </row>
    <row r="101" spans="2:32" x14ac:dyDescent="0.25">
      <c r="B101" s="30" t="s">
        <v>368</v>
      </c>
      <c r="C101" s="215">
        <f>Invoertabblad!D121</f>
        <v>0</v>
      </c>
      <c r="D101" s="215">
        <f>Invoertabblad!E121</f>
        <v>0</v>
      </c>
      <c r="E101" s="29" t="s">
        <v>400</v>
      </c>
      <c r="H101" s="11"/>
      <c r="I101" s="11"/>
      <c r="J101" s="11"/>
      <c r="AF101" s="18"/>
    </row>
    <row r="102" spans="2:32" x14ac:dyDescent="0.25">
      <c r="B102" s="30" t="s">
        <v>369</v>
      </c>
      <c r="C102" s="215">
        <f>Invoertabblad!D122</f>
        <v>0</v>
      </c>
      <c r="D102" s="215">
        <f>Invoertabblad!E122</f>
        <v>0</v>
      </c>
      <c r="E102" s="29" t="s">
        <v>400</v>
      </c>
      <c r="H102" s="11"/>
      <c r="I102" s="11"/>
      <c r="J102" s="11"/>
      <c r="AF102" s="18"/>
    </row>
    <row r="103" spans="2:32" x14ac:dyDescent="0.25">
      <c r="B103" s="30" t="s">
        <v>370</v>
      </c>
      <c r="C103" s="215">
        <f>Invoertabblad!D123</f>
        <v>0</v>
      </c>
      <c r="D103" s="215">
        <f>Invoertabblad!E123</f>
        <v>0</v>
      </c>
      <c r="E103" s="29" t="s">
        <v>400</v>
      </c>
      <c r="H103" s="11"/>
      <c r="I103" s="11"/>
      <c r="J103" s="11"/>
      <c r="AF103" s="18"/>
    </row>
    <row r="104" spans="2:32" x14ac:dyDescent="0.25">
      <c r="B104" s="30" t="s">
        <v>371</v>
      </c>
      <c r="C104" s="215">
        <f>Invoertabblad!D124</f>
        <v>0</v>
      </c>
      <c r="D104" s="215">
        <f>Invoertabblad!E124</f>
        <v>0</v>
      </c>
      <c r="E104" s="29" t="s">
        <v>400</v>
      </c>
      <c r="H104" s="11"/>
      <c r="I104" s="11"/>
      <c r="J104" s="11"/>
      <c r="AF104" s="18"/>
    </row>
    <row r="105" spans="2:32" x14ac:dyDescent="0.25">
      <c r="B105" s="30" t="s">
        <v>372</v>
      </c>
      <c r="C105" s="215">
        <f>Invoertabblad!D125</f>
        <v>0</v>
      </c>
      <c r="D105" s="215">
        <f>Invoertabblad!E125</f>
        <v>0</v>
      </c>
      <c r="E105" s="29" t="s">
        <v>400</v>
      </c>
      <c r="H105" s="11"/>
      <c r="I105" s="11"/>
      <c r="J105" s="11"/>
      <c r="AF105" s="18"/>
    </row>
    <row r="106" spans="2:32" x14ac:dyDescent="0.25">
      <c r="B106" s="30" t="s">
        <v>373</v>
      </c>
      <c r="C106" s="215">
        <f>Invoertabblad!D126</f>
        <v>0</v>
      </c>
      <c r="D106" s="215">
        <f>Invoertabblad!E126</f>
        <v>0</v>
      </c>
      <c r="E106" s="29" t="s">
        <v>400</v>
      </c>
      <c r="H106" s="11"/>
      <c r="I106" s="11"/>
      <c r="J106" s="11"/>
      <c r="AF106" s="18"/>
    </row>
    <row r="107" spans="2:32" x14ac:dyDescent="0.25">
      <c r="B107" s="30" t="s">
        <v>374</v>
      </c>
      <c r="C107" s="215">
        <f>Invoertabblad!D127</f>
        <v>0</v>
      </c>
      <c r="D107" s="215">
        <f>Invoertabblad!E127</f>
        <v>0</v>
      </c>
      <c r="E107" s="29" t="s">
        <v>400</v>
      </c>
      <c r="H107" s="11"/>
      <c r="I107" s="11"/>
      <c r="J107" s="11"/>
      <c r="AF107" s="18"/>
    </row>
    <row r="108" spans="2:32" x14ac:dyDescent="0.25">
      <c r="B108" s="30" t="s">
        <v>375</v>
      </c>
      <c r="C108" s="215">
        <f>Invoertabblad!D128</f>
        <v>0</v>
      </c>
      <c r="D108" s="215">
        <f>Invoertabblad!E128</f>
        <v>0</v>
      </c>
      <c r="E108" s="29" t="s">
        <v>400</v>
      </c>
      <c r="H108" s="11"/>
      <c r="I108" s="11"/>
      <c r="J108" s="11"/>
      <c r="AF108" s="18"/>
    </row>
    <row r="109" spans="2:32" x14ac:dyDescent="0.25">
      <c r="B109" s="30" t="s">
        <v>376</v>
      </c>
      <c r="C109" s="215">
        <f>Invoertabblad!D129</f>
        <v>0</v>
      </c>
      <c r="D109" s="215">
        <f>Invoertabblad!E129</f>
        <v>0</v>
      </c>
      <c r="E109" s="29" t="s">
        <v>400</v>
      </c>
      <c r="H109" s="11"/>
      <c r="I109" s="11"/>
      <c r="J109" s="11"/>
      <c r="AF109" s="18"/>
    </row>
    <row r="110" spans="2:32" x14ac:dyDescent="0.25">
      <c r="B110" s="30" t="s">
        <v>377</v>
      </c>
      <c r="C110" s="215">
        <f>Invoertabblad!D130</f>
        <v>0</v>
      </c>
      <c r="D110" s="215">
        <f>Invoertabblad!E130</f>
        <v>0</v>
      </c>
      <c r="E110" s="29" t="s">
        <v>400</v>
      </c>
      <c r="H110" s="11"/>
      <c r="I110" s="11"/>
      <c r="J110" s="11"/>
      <c r="AF110" s="18"/>
    </row>
    <row r="111" spans="2:32" x14ac:dyDescent="0.25">
      <c r="B111" s="30" t="s">
        <v>378</v>
      </c>
      <c r="C111" s="215">
        <f>Invoertabblad!D131</f>
        <v>0</v>
      </c>
      <c r="D111" s="215">
        <f>Invoertabblad!E131</f>
        <v>0</v>
      </c>
      <c r="E111" s="29" t="s">
        <v>400</v>
      </c>
      <c r="H111" s="11"/>
      <c r="I111" s="11"/>
      <c r="J111" s="11"/>
      <c r="AF111" s="18"/>
    </row>
    <row r="112" spans="2:32" x14ac:dyDescent="0.25">
      <c r="B112" s="30" t="s">
        <v>379</v>
      </c>
      <c r="C112" s="215">
        <f>Invoertabblad!D132</f>
        <v>0</v>
      </c>
      <c r="D112" s="215">
        <f>Invoertabblad!E132</f>
        <v>0</v>
      </c>
      <c r="E112" s="29" t="s">
        <v>400</v>
      </c>
      <c r="H112" s="11"/>
      <c r="I112" s="11"/>
      <c r="J112" s="11"/>
      <c r="AF112" s="18"/>
    </row>
    <row r="113" spans="2:32" x14ac:dyDescent="0.25">
      <c r="B113" s="30" t="s">
        <v>380</v>
      </c>
      <c r="C113" s="215">
        <f>Invoertabblad!D133</f>
        <v>0</v>
      </c>
      <c r="D113" s="215">
        <f>Invoertabblad!E133</f>
        <v>0</v>
      </c>
      <c r="E113" s="29" t="s">
        <v>400</v>
      </c>
      <c r="H113" s="11"/>
      <c r="I113" s="11"/>
      <c r="J113" s="11"/>
      <c r="AF113" s="18"/>
    </row>
    <row r="114" spans="2:32" x14ac:dyDescent="0.25">
      <c r="B114" s="30" t="s">
        <v>381</v>
      </c>
      <c r="C114" s="215">
        <f>Invoertabblad!D134</f>
        <v>0</v>
      </c>
      <c r="D114" s="215">
        <f>Invoertabblad!E134</f>
        <v>0</v>
      </c>
      <c r="E114" s="29" t="s">
        <v>400</v>
      </c>
      <c r="H114" s="11"/>
      <c r="I114" s="11"/>
      <c r="J114" s="11"/>
      <c r="AF114" s="18"/>
    </row>
    <row r="115" spans="2:32" x14ac:dyDescent="0.25">
      <c r="B115" s="30" t="s">
        <v>382</v>
      </c>
      <c r="C115" s="215">
        <f>Invoertabblad!D135</f>
        <v>0</v>
      </c>
      <c r="D115" s="215">
        <f>Invoertabblad!E135</f>
        <v>0</v>
      </c>
      <c r="E115" s="29" t="s">
        <v>400</v>
      </c>
      <c r="H115" s="11"/>
      <c r="I115" s="11"/>
      <c r="J115" s="11"/>
      <c r="AF115" s="18"/>
    </row>
    <row r="116" spans="2:32" x14ac:dyDescent="0.25">
      <c r="B116" s="30" t="s">
        <v>383</v>
      </c>
      <c r="C116" s="215">
        <f>Invoertabblad!D136</f>
        <v>0</v>
      </c>
      <c r="D116" s="215">
        <f>Invoertabblad!E136</f>
        <v>0</v>
      </c>
      <c r="E116" s="29" t="s">
        <v>400</v>
      </c>
      <c r="H116" s="11"/>
      <c r="I116" s="11"/>
      <c r="J116" s="11"/>
      <c r="AF116" s="18"/>
    </row>
    <row r="117" spans="2:32" x14ac:dyDescent="0.25">
      <c r="B117" s="30" t="s">
        <v>384</v>
      </c>
      <c r="C117" s="215">
        <f>Invoertabblad!D137</f>
        <v>0</v>
      </c>
      <c r="D117" s="215">
        <f>Invoertabblad!E137</f>
        <v>0</v>
      </c>
      <c r="E117" s="29" t="s">
        <v>400</v>
      </c>
      <c r="H117" s="11"/>
      <c r="I117" s="11"/>
      <c r="J117" s="11"/>
      <c r="AF117" s="18"/>
    </row>
    <row r="118" spans="2:32" x14ac:dyDescent="0.25">
      <c r="B118" s="30" t="s">
        <v>385</v>
      </c>
      <c r="C118" s="215">
        <f>Invoertabblad!D138</f>
        <v>0</v>
      </c>
      <c r="D118" s="215">
        <f>Invoertabblad!E138</f>
        <v>0</v>
      </c>
      <c r="E118" s="29" t="s">
        <v>400</v>
      </c>
      <c r="H118" s="11"/>
      <c r="I118" s="11"/>
      <c r="J118" s="11"/>
      <c r="AF118" s="18"/>
    </row>
    <row r="119" spans="2:32" x14ac:dyDescent="0.25">
      <c r="B119" s="30" t="s">
        <v>386</v>
      </c>
      <c r="C119" s="215">
        <f>Invoertabblad!D139</f>
        <v>0</v>
      </c>
      <c r="D119" s="215">
        <f>Invoertabblad!E139</f>
        <v>0</v>
      </c>
      <c r="E119" s="29" t="s">
        <v>400</v>
      </c>
      <c r="AF119" s="18"/>
    </row>
    <row r="120" spans="2:32" x14ac:dyDescent="0.25">
      <c r="B120" s="30" t="s">
        <v>387</v>
      </c>
      <c r="C120" s="215">
        <f>Invoertabblad!D140</f>
        <v>0</v>
      </c>
      <c r="D120" s="215">
        <f>Invoertabblad!E140</f>
        <v>0</v>
      </c>
      <c r="E120" s="29" t="s">
        <v>400</v>
      </c>
      <c r="AF120" s="18"/>
    </row>
    <row r="121" spans="2:32" x14ac:dyDescent="0.25">
      <c r="B121" s="30" t="s">
        <v>388</v>
      </c>
      <c r="C121" s="215">
        <f>Invoertabblad!D141</f>
        <v>0</v>
      </c>
      <c r="D121" s="215">
        <f>Invoertabblad!E141</f>
        <v>0</v>
      </c>
      <c r="E121" s="29" t="s">
        <v>400</v>
      </c>
      <c r="AF121" s="18"/>
    </row>
    <row r="122" spans="2:32" hidden="1" x14ac:dyDescent="0.25">
      <c r="B122" s="30" t="s">
        <v>389</v>
      </c>
      <c r="C122" s="215" t="e">
        <f>Invoertabblad!#REF!</f>
        <v>#REF!</v>
      </c>
      <c r="D122" s="215" t="e">
        <f>Invoertabblad!#REF!</f>
        <v>#REF!</v>
      </c>
      <c r="E122" s="29" t="s">
        <v>400</v>
      </c>
      <c r="AF122" s="18"/>
    </row>
    <row r="123" spans="2:32" hidden="1" x14ac:dyDescent="0.25">
      <c r="B123" s="30" t="s">
        <v>390</v>
      </c>
      <c r="C123" s="215" t="e">
        <f>Invoertabblad!#REF!</f>
        <v>#REF!</v>
      </c>
      <c r="D123" s="215" t="e">
        <f>Invoertabblad!#REF!</f>
        <v>#REF!</v>
      </c>
      <c r="E123" s="29" t="s">
        <v>400</v>
      </c>
      <c r="AF123" s="18"/>
    </row>
    <row r="124" spans="2:32" x14ac:dyDescent="0.25">
      <c r="B124" s="30" t="s">
        <v>391</v>
      </c>
      <c r="C124" s="215">
        <f>Invoertabblad!D142</f>
        <v>0</v>
      </c>
      <c r="D124" s="215">
        <f>Invoertabblad!E142</f>
        <v>0</v>
      </c>
      <c r="E124" s="29" t="s">
        <v>400</v>
      </c>
      <c r="AF124" s="18"/>
    </row>
    <row r="125" spans="2:32" x14ac:dyDescent="0.25">
      <c r="B125" s="30" t="s">
        <v>392</v>
      </c>
      <c r="C125" s="215">
        <f>Invoertabblad!D143</f>
        <v>0</v>
      </c>
      <c r="D125" s="215">
        <f>Invoertabblad!E143</f>
        <v>0</v>
      </c>
      <c r="E125" s="29" t="s">
        <v>400</v>
      </c>
      <c r="AF125" s="18"/>
    </row>
    <row r="126" spans="2:32" hidden="1" x14ac:dyDescent="0.25">
      <c r="B126" s="30" t="s">
        <v>393</v>
      </c>
      <c r="C126" s="215" t="e">
        <f>Invoertabblad!#REF!</f>
        <v>#REF!</v>
      </c>
      <c r="D126" s="215" t="e">
        <f>Invoertabblad!#REF!</f>
        <v>#REF!</v>
      </c>
      <c r="E126" s="29" t="s">
        <v>400</v>
      </c>
      <c r="AF126" s="18"/>
    </row>
    <row r="127" spans="2:32" hidden="1" x14ac:dyDescent="0.25">
      <c r="B127" s="30" t="s">
        <v>394</v>
      </c>
      <c r="C127" s="215" t="e">
        <f>Invoertabblad!#REF!</f>
        <v>#REF!</v>
      </c>
      <c r="D127" s="215" t="e">
        <f>Invoertabblad!#REF!</f>
        <v>#REF!</v>
      </c>
      <c r="E127" s="29" t="s">
        <v>400</v>
      </c>
      <c r="AF127" s="18"/>
    </row>
    <row r="128" spans="2:32" x14ac:dyDescent="0.25">
      <c r="B128" s="30" t="s">
        <v>395</v>
      </c>
      <c r="C128" s="215">
        <f>Invoertabblad!D144</f>
        <v>0</v>
      </c>
      <c r="D128" s="215">
        <f>Invoertabblad!E144</f>
        <v>0</v>
      </c>
      <c r="E128" s="29" t="s">
        <v>400</v>
      </c>
      <c r="AF128" s="18"/>
    </row>
    <row r="129" spans="2:36" x14ac:dyDescent="0.25">
      <c r="B129" s="31" t="s">
        <v>396</v>
      </c>
      <c r="C129" s="215">
        <f>Invoertabblad!D145</f>
        <v>0</v>
      </c>
      <c r="D129" s="215">
        <f>Invoertabblad!E145</f>
        <v>0</v>
      </c>
      <c r="E129" s="29" t="s">
        <v>400</v>
      </c>
      <c r="AF129" s="18"/>
    </row>
    <row r="130" spans="2:36" ht="26.25" customHeight="1" thickBot="1" x14ac:dyDescent="0.3">
      <c r="D130"/>
    </row>
    <row r="131" spans="2:36" ht="42" customHeight="1" x14ac:dyDescent="0.25">
      <c r="B131" s="32"/>
      <c r="C131" s="33"/>
      <c r="D131" s="33"/>
      <c r="E131" s="34"/>
      <c r="F131" s="35"/>
      <c r="G131" s="35"/>
      <c r="H131" s="36"/>
      <c r="I131" s="37"/>
      <c r="J131" s="339" t="s">
        <v>14</v>
      </c>
      <c r="K131" s="348"/>
      <c r="L131" s="339" t="s">
        <v>13</v>
      </c>
      <c r="M131" s="351"/>
      <c r="N131" s="348"/>
      <c r="O131" s="339" t="s">
        <v>41</v>
      </c>
      <c r="P131" s="340"/>
      <c r="Q131" s="340"/>
      <c r="R131" s="340"/>
      <c r="S131" s="340"/>
      <c r="T131" s="340"/>
      <c r="U131" s="340"/>
      <c r="V131" s="340"/>
      <c r="W131" s="339" t="s">
        <v>15</v>
      </c>
      <c r="X131" s="340"/>
      <c r="Y131" s="343" t="s">
        <v>16</v>
      </c>
      <c r="Z131" s="343" t="s">
        <v>12</v>
      </c>
      <c r="AA131" s="339" t="s">
        <v>17</v>
      </c>
      <c r="AB131" s="357"/>
      <c r="AC131" s="343" t="s">
        <v>42</v>
      </c>
      <c r="AD131" s="339" t="s">
        <v>49</v>
      </c>
      <c r="AE131" s="340"/>
      <c r="AF131" s="357"/>
      <c r="AG131" s="42"/>
      <c r="AH131" s="43"/>
    </row>
    <row r="132" spans="2:36" ht="43.2" customHeight="1" thickBot="1" x14ac:dyDescent="0.3">
      <c r="B132" s="38"/>
      <c r="C132" s="152"/>
      <c r="D132" s="353" t="s">
        <v>402</v>
      </c>
      <c r="E132" s="39"/>
      <c r="F132" s="40"/>
      <c r="G132" s="40"/>
      <c r="H132" s="41"/>
      <c r="I132" s="355" t="s">
        <v>44</v>
      </c>
      <c r="J132" s="349"/>
      <c r="K132" s="350"/>
      <c r="L132" s="349"/>
      <c r="M132" s="352"/>
      <c r="N132" s="350"/>
      <c r="O132" s="341"/>
      <c r="P132" s="342"/>
      <c r="Q132" s="342"/>
      <c r="R132" s="342"/>
      <c r="S132" s="342"/>
      <c r="T132" s="342"/>
      <c r="U132" s="342"/>
      <c r="V132" s="342"/>
      <c r="W132" s="341"/>
      <c r="X132" s="342"/>
      <c r="Y132" s="344"/>
      <c r="Z132" s="344"/>
      <c r="AA132" s="349"/>
      <c r="AB132" s="358"/>
      <c r="AC132" s="344"/>
      <c r="AD132" s="341"/>
      <c r="AE132" s="342"/>
      <c r="AF132" s="358"/>
      <c r="AG132" s="42"/>
      <c r="AH132" s="43"/>
      <c r="AI132" s="43"/>
    </row>
    <row r="133" spans="2:36" ht="53.4" customHeight="1" thickBot="1" x14ac:dyDescent="0.3">
      <c r="B133" s="137" t="s">
        <v>401</v>
      </c>
      <c r="C133" s="153"/>
      <c r="D133" s="354"/>
      <c r="E133" s="44" t="s">
        <v>8</v>
      </c>
      <c r="F133" s="45" t="s">
        <v>1</v>
      </c>
      <c r="G133" s="45"/>
      <c r="H133" s="46" t="s">
        <v>48</v>
      </c>
      <c r="I133" s="356"/>
      <c r="J133" s="47" t="s">
        <v>53</v>
      </c>
      <c r="K133" s="47" t="s">
        <v>163</v>
      </c>
      <c r="L133" s="47" t="s">
        <v>19</v>
      </c>
      <c r="M133" s="47" t="s">
        <v>20</v>
      </c>
      <c r="N133" s="47" t="s">
        <v>21</v>
      </c>
      <c r="O133" s="47" t="s">
        <v>411</v>
      </c>
      <c r="P133" s="47" t="s">
        <v>247</v>
      </c>
      <c r="Q133" s="47" t="s">
        <v>31</v>
      </c>
      <c r="R133" s="47" t="s">
        <v>32</v>
      </c>
      <c r="S133" s="47" t="s">
        <v>55</v>
      </c>
      <c r="T133" s="47" t="s">
        <v>33</v>
      </c>
      <c r="U133" s="47" t="s">
        <v>36</v>
      </c>
      <c r="V133" s="47" t="s">
        <v>34</v>
      </c>
      <c r="W133" s="47" t="s">
        <v>22</v>
      </c>
      <c r="X133" s="47" t="s">
        <v>23</v>
      </c>
      <c r="Y133" s="47" t="s">
        <v>18</v>
      </c>
      <c r="Z133" s="47" t="s">
        <v>24</v>
      </c>
      <c r="AA133" s="47" t="s">
        <v>25</v>
      </c>
      <c r="AB133" s="47" t="s">
        <v>408</v>
      </c>
      <c r="AC133" s="47" t="s">
        <v>43</v>
      </c>
      <c r="AD133" s="47" t="s">
        <v>50</v>
      </c>
      <c r="AE133" s="47" t="s">
        <v>51</v>
      </c>
      <c r="AF133" s="47" t="s">
        <v>407</v>
      </c>
      <c r="AG133" s="42"/>
      <c r="AH133" s="43"/>
      <c r="AI133" s="43"/>
    </row>
    <row r="134" spans="2:36" x14ac:dyDescent="0.25">
      <c r="B134" s="138" t="s">
        <v>404</v>
      </c>
      <c r="C134" s="138"/>
      <c r="D134" s="48"/>
      <c r="E134" s="49"/>
      <c r="F134" s="50"/>
      <c r="G134" s="50"/>
      <c r="H134" s="51"/>
      <c r="I134" s="52"/>
      <c r="J134" s="53"/>
      <c r="K134" s="54"/>
      <c r="L134" s="55"/>
      <c r="M134" s="55"/>
      <c r="N134" s="55"/>
      <c r="O134" s="55"/>
      <c r="P134" s="55"/>
      <c r="Q134" s="55"/>
      <c r="R134" s="56"/>
      <c r="S134" s="57"/>
      <c r="T134" s="55"/>
      <c r="U134" s="55"/>
      <c r="V134" s="56"/>
      <c r="W134" s="54"/>
      <c r="X134" s="54"/>
      <c r="Y134" s="54"/>
      <c r="Z134" s="54"/>
      <c r="AA134" s="54"/>
      <c r="AB134" s="54"/>
      <c r="AC134" s="54"/>
      <c r="AD134" s="54"/>
      <c r="AE134" s="54"/>
      <c r="AF134" s="58"/>
      <c r="AG134" s="42"/>
      <c r="AH134" s="43"/>
      <c r="AI134" s="43"/>
    </row>
    <row r="135" spans="2:36" s="59" customFormat="1" ht="13.2" customHeight="1" x14ac:dyDescent="0.2">
      <c r="B135" s="59" t="s">
        <v>405</v>
      </c>
      <c r="D135" s="59">
        <v>1</v>
      </c>
      <c r="E135" s="49" t="str">
        <f>IF(H225*D135=0,"",H225*D135)</f>
        <v/>
      </c>
      <c r="H135" s="61" t="s">
        <v>22</v>
      </c>
      <c r="I135" s="62"/>
      <c r="W135" s="74" t="str">
        <f>E135</f>
        <v/>
      </c>
    </row>
    <row r="136" spans="2:36" x14ac:dyDescent="0.25">
      <c r="B136" s="48" t="s">
        <v>285</v>
      </c>
      <c r="C136" s="48"/>
      <c r="D136" s="48"/>
      <c r="E136" s="49"/>
      <c r="F136" s="60"/>
      <c r="G136" s="60"/>
      <c r="H136" s="60"/>
      <c r="I136" s="62"/>
      <c r="J136" s="53"/>
      <c r="K136" s="63"/>
      <c r="L136" s="64"/>
      <c r="M136" s="57"/>
      <c r="N136" s="57"/>
      <c r="O136" s="57"/>
      <c r="P136" s="57"/>
      <c r="Q136" s="64"/>
      <c r="R136" s="56"/>
      <c r="S136" s="57"/>
      <c r="T136" s="57"/>
      <c r="U136" s="57"/>
      <c r="V136" s="56"/>
      <c r="W136" s="53"/>
      <c r="X136" s="53"/>
      <c r="Y136" s="53"/>
      <c r="Z136" s="53"/>
      <c r="AA136" s="53"/>
      <c r="AB136" s="53"/>
      <c r="AC136" s="53"/>
      <c r="AD136" s="53"/>
      <c r="AE136" s="53"/>
      <c r="AF136" s="65"/>
      <c r="AG136" s="42"/>
      <c r="AH136" s="43"/>
      <c r="AI136" s="43"/>
    </row>
    <row r="137" spans="2:36" x14ac:dyDescent="0.25">
      <c r="B137" s="59" t="s">
        <v>149</v>
      </c>
      <c r="C137" s="59"/>
      <c r="D137" s="59">
        <v>0</v>
      </c>
      <c r="E137" s="49" t="str">
        <f t="shared" ref="E137:E144" si="13">IF(H226*D137=0,"",H226*D137)</f>
        <v/>
      </c>
      <c r="F137" s="60"/>
      <c r="G137" s="60"/>
      <c r="H137" s="61" t="s">
        <v>157</v>
      </c>
      <c r="I137" s="62"/>
      <c r="J137" s="53"/>
      <c r="K137" s="63"/>
      <c r="L137" s="64"/>
      <c r="M137" s="57"/>
      <c r="N137" s="57"/>
      <c r="O137" s="57"/>
      <c r="P137" s="57"/>
      <c r="Q137" s="64"/>
      <c r="R137" s="56" t="str">
        <f>E137</f>
        <v/>
      </c>
      <c r="S137" s="57"/>
      <c r="T137" s="57"/>
      <c r="U137" s="57"/>
      <c r="V137" s="56" t="str">
        <f>E137</f>
        <v/>
      </c>
      <c r="W137" s="53"/>
      <c r="X137" s="53"/>
      <c r="Y137" s="53"/>
      <c r="Z137" s="53"/>
      <c r="AA137" s="53"/>
      <c r="AB137" s="53"/>
      <c r="AC137" s="53"/>
      <c r="AD137" s="53"/>
      <c r="AE137" s="53" t="str">
        <f>E137</f>
        <v/>
      </c>
      <c r="AF137" s="65"/>
      <c r="AJ137" s="43"/>
    </row>
    <row r="138" spans="2:36" x14ac:dyDescent="0.25">
      <c r="B138" s="59" t="s">
        <v>150</v>
      </c>
      <c r="C138" s="59"/>
      <c r="D138" s="59">
        <v>0</v>
      </c>
      <c r="E138" s="49" t="str">
        <f t="shared" si="13"/>
        <v/>
      </c>
      <c r="F138" s="60"/>
      <c r="G138" s="60"/>
      <c r="H138" s="61" t="s">
        <v>32</v>
      </c>
      <c r="I138" s="62"/>
      <c r="J138" s="53"/>
      <c r="K138" s="63"/>
      <c r="L138" s="64"/>
      <c r="M138" s="57"/>
      <c r="N138" s="57"/>
      <c r="O138" s="57"/>
      <c r="P138" s="57"/>
      <c r="Q138" s="64"/>
      <c r="R138" s="56" t="str">
        <f>E138</f>
        <v/>
      </c>
      <c r="S138" s="57"/>
      <c r="T138" s="57"/>
      <c r="U138" s="57"/>
      <c r="V138" s="56"/>
      <c r="W138" s="53"/>
      <c r="X138" s="53"/>
      <c r="Y138" s="53"/>
      <c r="Z138" s="53"/>
      <c r="AA138" s="53"/>
      <c r="AB138" s="53"/>
      <c r="AC138" s="53"/>
      <c r="AD138" s="53"/>
      <c r="AE138" s="53"/>
      <c r="AF138" s="65"/>
    </row>
    <row r="139" spans="2:36" x14ac:dyDescent="0.25">
      <c r="B139" s="59" t="s">
        <v>151</v>
      </c>
      <c r="C139" s="59"/>
      <c r="D139" s="59">
        <v>0</v>
      </c>
      <c r="E139" s="49" t="str">
        <f t="shared" si="13"/>
        <v/>
      </c>
      <c r="F139" s="60"/>
      <c r="G139" s="60"/>
      <c r="H139" s="61" t="s">
        <v>158</v>
      </c>
      <c r="I139" s="62"/>
      <c r="J139" s="53"/>
      <c r="K139" s="53"/>
      <c r="L139" s="57"/>
      <c r="M139" s="57"/>
      <c r="N139" s="57"/>
      <c r="O139" s="57"/>
      <c r="P139" s="57"/>
      <c r="Q139" s="57"/>
      <c r="R139" s="56" t="str">
        <f>E139</f>
        <v/>
      </c>
      <c r="S139" s="57"/>
      <c r="T139" s="57"/>
      <c r="U139" s="57"/>
      <c r="V139" s="56" t="str">
        <f>E139</f>
        <v/>
      </c>
      <c r="W139" s="53"/>
      <c r="X139" s="53"/>
      <c r="Y139" s="53"/>
      <c r="Z139" s="53"/>
      <c r="AA139" s="53"/>
      <c r="AB139" s="53"/>
      <c r="AC139" s="53"/>
      <c r="AD139" s="53" t="str">
        <f>E139</f>
        <v/>
      </c>
      <c r="AE139" s="53"/>
      <c r="AF139" s="65"/>
    </row>
    <row r="140" spans="2:36" x14ac:dyDescent="0.25">
      <c r="B140" s="59" t="s">
        <v>152</v>
      </c>
      <c r="C140" s="59"/>
      <c r="D140" s="59">
        <v>0</v>
      </c>
      <c r="E140" s="49" t="str">
        <f t="shared" si="13"/>
        <v/>
      </c>
      <c r="F140" s="60"/>
      <c r="G140" s="60"/>
      <c r="H140" s="61" t="s">
        <v>159</v>
      </c>
      <c r="I140" s="62"/>
      <c r="J140" s="53"/>
      <c r="K140" s="53" t="str">
        <f>E140</f>
        <v/>
      </c>
      <c r="L140" s="57" t="str">
        <f>E140</f>
        <v/>
      </c>
      <c r="M140" s="57"/>
      <c r="N140" s="57"/>
      <c r="O140" s="57"/>
      <c r="P140" s="57"/>
      <c r="Q140" s="57"/>
      <c r="R140" s="56"/>
      <c r="S140" s="57"/>
      <c r="T140" s="57"/>
      <c r="U140" s="57"/>
      <c r="V140" s="56"/>
      <c r="W140" s="53"/>
      <c r="X140" s="53"/>
      <c r="Y140" s="53"/>
      <c r="Z140" s="53"/>
      <c r="AA140" s="53"/>
      <c r="AB140" s="53"/>
      <c r="AC140" s="53"/>
      <c r="AD140" s="53" t="str">
        <f>E140</f>
        <v/>
      </c>
      <c r="AE140" s="53"/>
      <c r="AF140" s="65"/>
    </row>
    <row r="141" spans="2:36" x14ac:dyDescent="0.25">
      <c r="B141" s="59" t="s">
        <v>153</v>
      </c>
      <c r="C141" s="59"/>
      <c r="D141" s="59">
        <v>0</v>
      </c>
      <c r="E141" s="49" t="str">
        <f t="shared" si="13"/>
        <v/>
      </c>
      <c r="F141" s="60"/>
      <c r="G141" s="60"/>
      <c r="H141" s="61" t="s">
        <v>160</v>
      </c>
      <c r="I141" s="62"/>
      <c r="J141" s="53"/>
      <c r="K141" s="53"/>
      <c r="L141" s="57"/>
      <c r="M141" s="57"/>
      <c r="N141" s="57"/>
      <c r="O141" s="57"/>
      <c r="P141" s="57"/>
      <c r="Q141" s="57"/>
      <c r="R141" s="56" t="str">
        <f>E141</f>
        <v/>
      </c>
      <c r="S141" s="57"/>
      <c r="T141" s="57"/>
      <c r="U141" s="57"/>
      <c r="V141" s="56" t="str">
        <f>E141</f>
        <v/>
      </c>
      <c r="W141" s="53"/>
      <c r="X141" s="53"/>
      <c r="Y141" s="53"/>
      <c r="Z141" s="53"/>
      <c r="AA141" s="53"/>
      <c r="AB141" s="53"/>
      <c r="AC141" s="53"/>
      <c r="AD141" s="53"/>
      <c r="AE141" s="53"/>
      <c r="AF141" s="65"/>
    </row>
    <row r="142" spans="2:36" x14ac:dyDescent="0.25">
      <c r="B142" s="59" t="s">
        <v>154</v>
      </c>
      <c r="C142" s="59"/>
      <c r="D142" s="59">
        <v>0</v>
      </c>
      <c r="E142" s="49" t="str">
        <f t="shared" si="13"/>
        <v/>
      </c>
      <c r="F142" s="60"/>
      <c r="G142" s="60"/>
      <c r="H142" s="61" t="s">
        <v>161</v>
      </c>
      <c r="I142" s="62"/>
      <c r="J142" s="53"/>
      <c r="K142" s="53"/>
      <c r="L142" s="57"/>
      <c r="M142" s="57"/>
      <c r="N142" s="57"/>
      <c r="O142" s="57"/>
      <c r="P142" s="57"/>
      <c r="Q142" s="57"/>
      <c r="R142" s="56" t="str">
        <f>E142</f>
        <v/>
      </c>
      <c r="S142" s="57"/>
      <c r="T142" s="57"/>
      <c r="U142" s="57"/>
      <c r="V142" s="56" t="str">
        <f>E142</f>
        <v/>
      </c>
      <c r="W142" s="53"/>
      <c r="X142" s="53"/>
      <c r="Y142" s="53"/>
      <c r="Z142" s="53"/>
      <c r="AA142" s="53"/>
      <c r="AB142" s="53"/>
      <c r="AC142" s="53"/>
      <c r="AD142" s="53"/>
      <c r="AE142" s="53"/>
      <c r="AF142" s="65"/>
    </row>
    <row r="143" spans="2:36" x14ac:dyDescent="0.25">
      <c r="B143" s="59" t="s">
        <v>155</v>
      </c>
      <c r="C143" s="59"/>
      <c r="D143" s="59">
        <v>1</v>
      </c>
      <c r="E143" s="49" t="str">
        <f t="shared" si="13"/>
        <v/>
      </c>
      <c r="F143" s="60"/>
      <c r="G143" s="60"/>
      <c r="H143" s="61" t="s">
        <v>11</v>
      </c>
      <c r="I143" s="62"/>
      <c r="J143" s="53"/>
      <c r="K143" s="53"/>
      <c r="L143" s="57"/>
      <c r="M143" s="57"/>
      <c r="N143" s="57"/>
      <c r="O143" s="57"/>
      <c r="P143" s="57"/>
      <c r="Q143" s="57"/>
      <c r="R143" s="56" t="str">
        <f>E143</f>
        <v/>
      </c>
      <c r="S143" s="57"/>
      <c r="T143" s="57"/>
      <c r="U143" s="57"/>
      <c r="V143" s="56" t="str">
        <f>E143</f>
        <v/>
      </c>
      <c r="W143" s="53"/>
      <c r="X143" s="53"/>
      <c r="Y143" s="53"/>
      <c r="Z143" s="53"/>
      <c r="AA143" s="53"/>
      <c r="AB143" s="53"/>
      <c r="AC143" s="53"/>
      <c r="AD143" s="53"/>
      <c r="AE143" s="53"/>
      <c r="AF143" s="65"/>
    </row>
    <row r="144" spans="2:36" x14ac:dyDescent="0.25">
      <c r="B144" s="59" t="s">
        <v>156</v>
      </c>
      <c r="C144" s="59"/>
      <c r="D144" s="59">
        <v>0</v>
      </c>
      <c r="E144" s="49" t="str">
        <f t="shared" si="13"/>
        <v/>
      </c>
      <c r="F144" s="60"/>
      <c r="G144" s="60"/>
      <c r="H144" s="61" t="s">
        <v>162</v>
      </c>
      <c r="I144" s="62"/>
      <c r="J144" s="53"/>
      <c r="K144" s="53"/>
      <c r="L144" s="57"/>
      <c r="M144" s="57"/>
      <c r="N144" s="57"/>
      <c r="O144" s="57"/>
      <c r="P144" s="57"/>
      <c r="Q144" s="57" t="str">
        <f>E144</f>
        <v/>
      </c>
      <c r="R144" s="56"/>
      <c r="S144" s="57"/>
      <c r="T144" s="57"/>
      <c r="U144" s="57"/>
      <c r="V144" s="56" t="str">
        <f>E144</f>
        <v/>
      </c>
      <c r="W144" s="53"/>
      <c r="X144" s="53"/>
      <c r="Y144" s="53"/>
      <c r="Z144" s="53"/>
      <c r="AA144" s="53"/>
      <c r="AB144" s="53"/>
      <c r="AC144" s="53"/>
      <c r="AD144" s="53"/>
      <c r="AE144" s="53"/>
      <c r="AF144" s="65"/>
    </row>
    <row r="145" spans="2:32" x14ac:dyDescent="0.25">
      <c r="B145" s="48" t="s">
        <v>286</v>
      </c>
      <c r="C145" s="48"/>
      <c r="D145" s="48"/>
      <c r="E145" s="49"/>
      <c r="F145" s="60"/>
      <c r="G145" s="60"/>
      <c r="H145" s="61"/>
      <c r="I145" s="62"/>
      <c r="J145" s="53"/>
      <c r="K145" s="53"/>
      <c r="L145" s="57"/>
      <c r="M145" s="57"/>
      <c r="N145" s="57"/>
      <c r="O145" s="57"/>
      <c r="P145" s="57"/>
      <c r="Q145" s="57"/>
      <c r="R145" s="56"/>
      <c r="S145" s="57"/>
      <c r="T145" s="57"/>
      <c r="U145" s="57"/>
      <c r="V145" s="56"/>
      <c r="W145" s="53"/>
      <c r="X145" s="53"/>
      <c r="Y145" s="53"/>
      <c r="Z145" s="53"/>
      <c r="AA145" s="53"/>
      <c r="AB145" s="53"/>
      <c r="AC145" s="53"/>
      <c r="AD145" s="53"/>
      <c r="AE145" s="53"/>
      <c r="AF145" s="65"/>
    </row>
    <row r="146" spans="2:32" x14ac:dyDescent="0.25">
      <c r="B146" s="59" t="s">
        <v>168</v>
      </c>
      <c r="C146" s="59"/>
      <c r="D146" s="59">
        <v>0</v>
      </c>
      <c r="E146" s="49" t="str">
        <f t="shared" ref="E146:E158" si="14">IF(H234*D146=0,"",H234*D146)</f>
        <v/>
      </c>
      <c r="F146" s="60"/>
      <c r="G146" s="60"/>
      <c r="H146" s="61" t="s">
        <v>167</v>
      </c>
      <c r="I146" s="62"/>
      <c r="J146" s="53"/>
      <c r="K146" s="53"/>
      <c r="L146" s="57" t="str">
        <f>E146</f>
        <v/>
      </c>
      <c r="M146" s="57"/>
      <c r="N146" s="57"/>
      <c r="O146" s="57"/>
      <c r="P146" s="57"/>
      <c r="Q146" s="57"/>
      <c r="R146" s="56"/>
      <c r="S146" s="57"/>
      <c r="T146" s="57"/>
      <c r="U146" s="57"/>
      <c r="V146" s="56"/>
      <c r="W146" s="53"/>
      <c r="X146" s="53"/>
      <c r="Y146" s="53"/>
      <c r="Z146" s="53"/>
      <c r="AA146" s="53"/>
      <c r="AB146" s="53"/>
      <c r="AC146" s="53" t="str">
        <f>E146</f>
        <v/>
      </c>
      <c r="AD146" s="53"/>
      <c r="AE146" s="53"/>
      <c r="AF146" s="65"/>
    </row>
    <row r="147" spans="2:32" ht="23.4" x14ac:dyDescent="0.25">
      <c r="B147" s="66" t="s">
        <v>254</v>
      </c>
      <c r="C147" s="66"/>
      <c r="D147" s="66">
        <v>0</v>
      </c>
      <c r="E147" s="49" t="str">
        <f t="shared" si="14"/>
        <v/>
      </c>
      <c r="F147" s="60"/>
      <c r="G147" s="154"/>
      <c r="H147" s="67" t="s">
        <v>191</v>
      </c>
      <c r="I147" s="62" t="s">
        <v>192</v>
      </c>
      <c r="J147" s="53" t="str">
        <f>E147</f>
        <v/>
      </c>
      <c r="K147" s="53"/>
      <c r="L147" s="57" t="str">
        <f>E147</f>
        <v/>
      </c>
      <c r="M147" s="57"/>
      <c r="N147" s="57" t="str">
        <f>E147</f>
        <v/>
      </c>
      <c r="O147" s="57"/>
      <c r="P147" s="57"/>
      <c r="Q147" s="57"/>
      <c r="R147" s="56" t="str">
        <f>E147</f>
        <v/>
      </c>
      <c r="S147" s="57"/>
      <c r="T147" s="64" t="str">
        <f>E147</f>
        <v/>
      </c>
      <c r="U147" s="57"/>
      <c r="V147" s="56"/>
      <c r="W147" s="53"/>
      <c r="X147" s="53"/>
      <c r="Y147" s="53"/>
      <c r="Z147" s="53"/>
      <c r="AA147" s="53"/>
      <c r="AB147" s="53"/>
      <c r="AC147" s="53" t="str">
        <f>E147</f>
        <v/>
      </c>
      <c r="AD147" s="53"/>
      <c r="AE147" s="63" t="str">
        <f t="shared" ref="AE147:AE153" si="15">E147</f>
        <v/>
      </c>
      <c r="AF147" s="65"/>
    </row>
    <row r="148" spans="2:32" s="20" customFormat="1" ht="22.8" x14ac:dyDescent="0.2">
      <c r="B148" s="59" t="s">
        <v>169</v>
      </c>
      <c r="C148" s="59"/>
      <c r="D148" s="59">
        <v>0</v>
      </c>
      <c r="E148" s="49" t="str">
        <f t="shared" si="14"/>
        <v/>
      </c>
      <c r="F148" s="60"/>
      <c r="G148" s="154"/>
      <c r="H148" s="67" t="s">
        <v>172</v>
      </c>
      <c r="I148" s="62"/>
      <c r="J148" s="53"/>
      <c r="K148" s="53" t="str">
        <f>E148</f>
        <v/>
      </c>
      <c r="L148" s="57" t="str">
        <f>E148</f>
        <v/>
      </c>
      <c r="M148" s="57"/>
      <c r="N148" s="57"/>
      <c r="O148" s="57"/>
      <c r="P148" s="57"/>
      <c r="Q148" s="57"/>
      <c r="R148" s="56"/>
      <c r="S148" s="57"/>
      <c r="T148" s="57"/>
      <c r="U148" s="57"/>
      <c r="V148" s="56"/>
      <c r="W148" s="53"/>
      <c r="X148" s="53"/>
      <c r="Y148" s="53"/>
      <c r="Z148" s="53"/>
      <c r="AA148" s="53"/>
      <c r="AB148" s="53"/>
      <c r="AC148" s="53" t="str">
        <f>E148</f>
        <v/>
      </c>
      <c r="AD148" s="53" t="str">
        <f t="shared" ref="AD148:AD158" si="16">E148</f>
        <v/>
      </c>
      <c r="AE148" s="63" t="str">
        <f t="shared" si="15"/>
        <v/>
      </c>
      <c r="AF148" s="65"/>
    </row>
    <row r="149" spans="2:32" ht="23.4" x14ac:dyDescent="0.25">
      <c r="B149" s="59" t="s">
        <v>170</v>
      </c>
      <c r="C149" s="59"/>
      <c r="D149" s="59">
        <v>0</v>
      </c>
      <c r="E149" s="49" t="str">
        <f t="shared" si="14"/>
        <v/>
      </c>
      <c r="F149" s="60"/>
      <c r="G149" s="154"/>
      <c r="H149" s="67" t="s">
        <v>171</v>
      </c>
      <c r="I149" s="62"/>
      <c r="J149" s="53"/>
      <c r="K149" s="53" t="str">
        <f>E149</f>
        <v/>
      </c>
      <c r="L149" s="57" t="str">
        <f>E149</f>
        <v/>
      </c>
      <c r="M149" s="57"/>
      <c r="N149" s="57"/>
      <c r="O149" s="57"/>
      <c r="P149" s="57"/>
      <c r="Q149" s="57"/>
      <c r="R149" s="56" t="str">
        <f>E149</f>
        <v/>
      </c>
      <c r="S149" s="57"/>
      <c r="T149" s="57"/>
      <c r="U149" s="57"/>
      <c r="V149" s="56"/>
      <c r="W149" s="53"/>
      <c r="X149" s="53"/>
      <c r="Y149" s="53"/>
      <c r="Z149" s="53"/>
      <c r="AA149" s="53"/>
      <c r="AB149" s="53"/>
      <c r="AC149" s="53" t="str">
        <f>E149</f>
        <v/>
      </c>
      <c r="AD149" s="53" t="str">
        <f t="shared" si="16"/>
        <v/>
      </c>
      <c r="AE149" s="63" t="str">
        <f t="shared" si="15"/>
        <v/>
      </c>
      <c r="AF149" s="65"/>
    </row>
    <row r="150" spans="2:32" x14ac:dyDescent="0.25">
      <c r="B150" s="66" t="s">
        <v>255</v>
      </c>
      <c r="C150" s="66"/>
      <c r="D150" s="66">
        <v>0</v>
      </c>
      <c r="E150" s="49" t="str">
        <f t="shared" si="14"/>
        <v/>
      </c>
      <c r="F150" s="60"/>
      <c r="G150" s="60"/>
      <c r="H150" s="61" t="s">
        <v>173</v>
      </c>
      <c r="I150" s="62"/>
      <c r="J150" s="53"/>
      <c r="K150" s="53"/>
      <c r="L150" s="57"/>
      <c r="M150" s="57"/>
      <c r="N150" s="57"/>
      <c r="O150" s="64" t="str">
        <f>E150</f>
        <v/>
      </c>
      <c r="P150" s="57"/>
      <c r="Q150" s="57"/>
      <c r="R150" s="56"/>
      <c r="S150" s="57"/>
      <c r="T150" s="57"/>
      <c r="U150" s="57"/>
      <c r="V150" s="56"/>
      <c r="W150" s="53"/>
      <c r="X150" s="53"/>
      <c r="Y150" s="53"/>
      <c r="Z150" s="53"/>
      <c r="AA150" s="53"/>
      <c r="AB150" s="53"/>
      <c r="AC150" s="53"/>
      <c r="AD150" s="53" t="str">
        <f t="shared" si="16"/>
        <v/>
      </c>
      <c r="AE150" s="63" t="str">
        <f t="shared" si="15"/>
        <v/>
      </c>
      <c r="AF150" s="65"/>
    </row>
    <row r="151" spans="2:32" x14ac:dyDescent="0.25">
      <c r="B151" s="66" t="s">
        <v>256</v>
      </c>
      <c r="C151" s="66"/>
      <c r="D151" s="66">
        <v>0</v>
      </c>
      <c r="E151" s="49" t="str">
        <f t="shared" si="14"/>
        <v/>
      </c>
      <c r="F151" s="60"/>
      <c r="G151" s="60"/>
      <c r="H151" s="61" t="s">
        <v>176</v>
      </c>
      <c r="I151" s="62"/>
      <c r="J151" s="53"/>
      <c r="K151" s="53"/>
      <c r="L151" s="57"/>
      <c r="M151" s="57"/>
      <c r="N151" s="57"/>
      <c r="O151" s="57"/>
      <c r="P151" s="57"/>
      <c r="Q151" s="57"/>
      <c r="R151" s="56" t="str">
        <f>E151</f>
        <v/>
      </c>
      <c r="S151" s="57"/>
      <c r="T151" s="57"/>
      <c r="U151" s="57"/>
      <c r="V151" s="56"/>
      <c r="W151" s="63" t="str">
        <f>E151</f>
        <v/>
      </c>
      <c r="X151" s="53"/>
      <c r="Y151" s="53"/>
      <c r="Z151" s="53"/>
      <c r="AA151" s="53"/>
      <c r="AB151" s="53"/>
      <c r="AC151" s="53" t="str">
        <f>E151</f>
        <v/>
      </c>
      <c r="AD151" s="53" t="str">
        <f t="shared" si="16"/>
        <v/>
      </c>
      <c r="AE151" s="63" t="str">
        <f t="shared" si="15"/>
        <v/>
      </c>
      <c r="AF151" s="65"/>
    </row>
    <row r="152" spans="2:32" ht="23.4" x14ac:dyDescent="0.25">
      <c r="B152" s="66" t="s">
        <v>257</v>
      </c>
      <c r="C152" s="66"/>
      <c r="D152" s="66">
        <v>0</v>
      </c>
      <c r="E152" s="49" t="str">
        <f t="shared" si="14"/>
        <v/>
      </c>
      <c r="F152" s="60"/>
      <c r="G152" s="60"/>
      <c r="H152" s="61" t="s">
        <v>178</v>
      </c>
      <c r="I152" s="68" t="s">
        <v>193</v>
      </c>
      <c r="J152" s="53"/>
      <c r="K152" s="53"/>
      <c r="L152" s="57"/>
      <c r="M152" s="57"/>
      <c r="N152" s="57"/>
      <c r="O152" s="57"/>
      <c r="P152" s="57"/>
      <c r="Q152" s="57"/>
      <c r="R152" s="56" t="str">
        <f>E152</f>
        <v/>
      </c>
      <c r="S152" s="57"/>
      <c r="T152" s="57"/>
      <c r="U152" s="57"/>
      <c r="V152" s="56"/>
      <c r="W152" s="53"/>
      <c r="X152" s="53"/>
      <c r="Y152" s="53" t="str">
        <f>E152</f>
        <v/>
      </c>
      <c r="Z152" s="53"/>
      <c r="AA152" s="53"/>
      <c r="AB152" s="53"/>
      <c r="AC152" s="53"/>
      <c r="AD152" s="53" t="str">
        <f t="shared" si="16"/>
        <v/>
      </c>
      <c r="AE152" s="63" t="str">
        <f t="shared" si="15"/>
        <v/>
      </c>
      <c r="AF152" s="65"/>
    </row>
    <row r="153" spans="2:32" x14ac:dyDescent="0.25">
      <c r="B153" s="66" t="s">
        <v>258</v>
      </c>
      <c r="C153" s="66"/>
      <c r="D153" s="66">
        <v>0</v>
      </c>
      <c r="E153" s="49" t="str">
        <f t="shared" si="14"/>
        <v/>
      </c>
      <c r="F153" s="60"/>
      <c r="G153" s="60"/>
      <c r="H153" s="61" t="s">
        <v>179</v>
      </c>
      <c r="I153" s="62"/>
      <c r="J153" s="53"/>
      <c r="K153" s="53"/>
      <c r="L153" s="57"/>
      <c r="M153" s="57"/>
      <c r="N153" s="57"/>
      <c r="O153" s="57"/>
      <c r="P153" s="57"/>
      <c r="Q153" s="57"/>
      <c r="R153" s="56"/>
      <c r="S153" s="57"/>
      <c r="T153" s="57"/>
      <c r="U153" s="57"/>
      <c r="V153" s="56"/>
      <c r="W153" s="53"/>
      <c r="X153" s="53"/>
      <c r="Y153" s="53" t="str">
        <f>E153</f>
        <v/>
      </c>
      <c r="Z153" s="53"/>
      <c r="AA153" s="53"/>
      <c r="AB153" s="53"/>
      <c r="AC153" s="53"/>
      <c r="AD153" s="53" t="str">
        <f t="shared" si="16"/>
        <v/>
      </c>
      <c r="AE153" s="63" t="str">
        <f t="shared" si="15"/>
        <v/>
      </c>
      <c r="AF153" s="65"/>
    </row>
    <row r="154" spans="2:32" x14ac:dyDescent="0.25">
      <c r="B154" s="66" t="s">
        <v>259</v>
      </c>
      <c r="C154" s="66"/>
      <c r="D154" s="66">
        <v>0</v>
      </c>
      <c r="E154" s="49" t="str">
        <f t="shared" si="14"/>
        <v/>
      </c>
      <c r="F154" s="60"/>
      <c r="G154" s="60"/>
      <c r="H154" s="61" t="s">
        <v>182</v>
      </c>
      <c r="I154" s="62"/>
      <c r="J154" s="53" t="str">
        <f>E154</f>
        <v/>
      </c>
      <c r="K154" s="53"/>
      <c r="L154" s="57"/>
      <c r="M154" s="57"/>
      <c r="N154" s="57"/>
      <c r="O154" s="57"/>
      <c r="P154" s="57"/>
      <c r="Q154" s="57"/>
      <c r="R154" s="56" t="str">
        <f>E154</f>
        <v/>
      </c>
      <c r="S154" s="57"/>
      <c r="T154" s="57"/>
      <c r="U154" s="57"/>
      <c r="V154" s="56"/>
      <c r="W154" s="53"/>
      <c r="X154" s="53"/>
      <c r="Y154" s="53"/>
      <c r="Z154" s="53"/>
      <c r="AA154" s="53"/>
      <c r="AB154" s="53"/>
      <c r="AC154" s="53" t="str">
        <f>E154</f>
        <v/>
      </c>
      <c r="AD154" s="53" t="str">
        <f t="shared" si="16"/>
        <v/>
      </c>
      <c r="AE154" s="63"/>
      <c r="AF154" s="65"/>
    </row>
    <row r="155" spans="2:32" x14ac:dyDescent="0.25">
      <c r="B155" s="66" t="s">
        <v>260</v>
      </c>
      <c r="C155" s="66"/>
      <c r="D155" s="66">
        <v>0</v>
      </c>
      <c r="E155" s="49" t="str">
        <f t="shared" si="14"/>
        <v/>
      </c>
      <c r="F155" s="60"/>
      <c r="G155" s="60"/>
      <c r="H155" s="61" t="s">
        <v>184</v>
      </c>
      <c r="I155" s="62"/>
      <c r="J155" s="53" t="str">
        <f>E155</f>
        <v/>
      </c>
      <c r="K155" s="53"/>
      <c r="L155" s="57"/>
      <c r="M155" s="57"/>
      <c r="N155" s="57"/>
      <c r="O155" s="57"/>
      <c r="P155" s="57"/>
      <c r="Q155" s="57"/>
      <c r="R155" s="56" t="str">
        <f>E155</f>
        <v/>
      </c>
      <c r="S155" s="57"/>
      <c r="T155" s="57"/>
      <c r="U155" s="57"/>
      <c r="V155" s="56"/>
      <c r="W155" s="53"/>
      <c r="X155" s="53"/>
      <c r="Y155" s="53"/>
      <c r="Z155" s="53"/>
      <c r="AA155" s="53"/>
      <c r="AB155" s="53"/>
      <c r="AC155" s="53"/>
      <c r="AD155" s="53" t="str">
        <f t="shared" si="16"/>
        <v/>
      </c>
      <c r="AE155" s="63" t="str">
        <f>E155</f>
        <v/>
      </c>
      <c r="AF155" s="65"/>
    </row>
    <row r="156" spans="2:32" x14ac:dyDescent="0.25">
      <c r="B156" s="66" t="s">
        <v>261</v>
      </c>
      <c r="C156" s="66"/>
      <c r="D156" s="66">
        <v>0</v>
      </c>
      <c r="E156" s="49" t="str">
        <f t="shared" si="14"/>
        <v/>
      </c>
      <c r="F156" s="60"/>
      <c r="G156" s="60"/>
      <c r="H156" s="61" t="s">
        <v>186</v>
      </c>
      <c r="I156" s="62"/>
      <c r="J156" s="53"/>
      <c r="K156" s="53"/>
      <c r="L156" s="57"/>
      <c r="M156" s="57"/>
      <c r="N156" s="57"/>
      <c r="O156" s="57"/>
      <c r="P156" s="57"/>
      <c r="Q156" s="57"/>
      <c r="R156" s="56" t="str">
        <f>E156</f>
        <v/>
      </c>
      <c r="S156" s="57"/>
      <c r="T156" s="57"/>
      <c r="U156" s="57"/>
      <c r="V156" s="56"/>
      <c r="W156" s="53"/>
      <c r="X156" s="53"/>
      <c r="Y156" s="53"/>
      <c r="Z156" s="53"/>
      <c r="AA156" s="53"/>
      <c r="AB156" s="53"/>
      <c r="AC156" s="53"/>
      <c r="AD156" s="53" t="str">
        <f t="shared" si="16"/>
        <v/>
      </c>
      <c r="AE156" s="63" t="str">
        <f>E156</f>
        <v/>
      </c>
      <c r="AF156" s="65"/>
    </row>
    <row r="157" spans="2:32" x14ac:dyDescent="0.25">
      <c r="B157" s="66" t="s">
        <v>262</v>
      </c>
      <c r="C157" s="66"/>
      <c r="D157" s="66">
        <v>0</v>
      </c>
      <c r="E157" s="49" t="str">
        <f t="shared" si="14"/>
        <v/>
      </c>
      <c r="F157" s="60"/>
      <c r="G157" s="60"/>
      <c r="H157" s="61" t="s">
        <v>188</v>
      </c>
      <c r="I157" s="62"/>
      <c r="J157" s="53"/>
      <c r="K157" s="53"/>
      <c r="L157" s="57"/>
      <c r="M157" s="57"/>
      <c r="N157" s="57"/>
      <c r="O157" s="57"/>
      <c r="P157" s="57"/>
      <c r="Q157" s="57"/>
      <c r="R157" s="56"/>
      <c r="S157" s="57"/>
      <c r="T157" s="57"/>
      <c r="U157" s="57"/>
      <c r="V157" s="56"/>
      <c r="W157" s="53"/>
      <c r="X157" s="53"/>
      <c r="Y157" s="53"/>
      <c r="Z157" s="53"/>
      <c r="AA157" s="53"/>
      <c r="AB157" s="53"/>
      <c r="AC157" s="53"/>
      <c r="AD157" s="53" t="str">
        <f t="shared" si="16"/>
        <v/>
      </c>
      <c r="AE157" s="63" t="str">
        <f>E157</f>
        <v/>
      </c>
      <c r="AF157" s="65"/>
    </row>
    <row r="158" spans="2:32" x14ac:dyDescent="0.25">
      <c r="B158" s="66" t="s">
        <v>263</v>
      </c>
      <c r="C158" s="66"/>
      <c r="D158" s="66">
        <v>0.67</v>
      </c>
      <c r="E158" s="49" t="str">
        <f t="shared" si="14"/>
        <v/>
      </c>
      <c r="F158" s="60"/>
      <c r="G158" s="60"/>
      <c r="H158" s="61" t="s">
        <v>188</v>
      </c>
      <c r="I158" s="62"/>
      <c r="J158" s="53"/>
      <c r="K158" s="53"/>
      <c r="L158" s="57"/>
      <c r="M158" s="57"/>
      <c r="N158" s="57"/>
      <c r="O158" s="57"/>
      <c r="P158" s="57"/>
      <c r="Q158" s="57"/>
      <c r="R158" s="56"/>
      <c r="S158" s="57"/>
      <c r="T158" s="57"/>
      <c r="U158" s="57"/>
      <c r="V158" s="56"/>
      <c r="W158" s="53"/>
      <c r="X158" s="53"/>
      <c r="Y158" s="53"/>
      <c r="Z158" s="53"/>
      <c r="AA158" s="53"/>
      <c r="AB158" s="53"/>
      <c r="AC158" s="53"/>
      <c r="AD158" s="53" t="str">
        <f t="shared" si="16"/>
        <v/>
      </c>
      <c r="AE158" s="63" t="str">
        <f>E158</f>
        <v/>
      </c>
      <c r="AF158" s="65"/>
    </row>
    <row r="159" spans="2:32" x14ac:dyDescent="0.25">
      <c r="B159" s="66" t="s">
        <v>360</v>
      </c>
      <c r="C159" s="66"/>
      <c r="D159" s="66">
        <v>0.33</v>
      </c>
      <c r="E159" s="49"/>
      <c r="F159" s="60"/>
      <c r="G159" s="60"/>
      <c r="H159" s="69" t="s">
        <v>361</v>
      </c>
      <c r="I159" s="62"/>
      <c r="J159" s="53"/>
      <c r="K159" s="53"/>
      <c r="L159" s="57"/>
      <c r="M159" s="57"/>
      <c r="N159" s="57"/>
      <c r="O159" s="57"/>
      <c r="P159" s="57"/>
      <c r="Q159" s="57"/>
      <c r="R159" s="56"/>
      <c r="S159" s="57"/>
      <c r="T159" s="57"/>
      <c r="U159" s="57"/>
      <c r="V159" s="56"/>
      <c r="W159" s="53"/>
      <c r="X159" s="53"/>
      <c r="Y159" s="53"/>
      <c r="Z159" s="53"/>
      <c r="AA159" s="53"/>
      <c r="AB159" s="53"/>
      <c r="AC159" s="53"/>
      <c r="AD159" s="53"/>
      <c r="AE159" s="63"/>
      <c r="AF159" s="65"/>
    </row>
    <row r="160" spans="2:32" x14ac:dyDescent="0.25">
      <c r="B160" s="70" t="s">
        <v>287</v>
      </c>
      <c r="C160" s="70"/>
      <c r="D160" s="70"/>
      <c r="E160" s="49"/>
      <c r="F160" s="60"/>
      <c r="G160" s="60"/>
      <c r="H160" s="61"/>
      <c r="I160" s="62"/>
      <c r="J160" s="53"/>
      <c r="K160" s="53"/>
      <c r="L160" s="57"/>
      <c r="M160" s="57"/>
      <c r="N160" s="57"/>
      <c r="O160" s="57"/>
      <c r="P160" s="57"/>
      <c r="Q160" s="57"/>
      <c r="R160" s="56"/>
      <c r="S160" s="57"/>
      <c r="T160" s="57"/>
      <c r="U160" s="57"/>
      <c r="V160" s="56"/>
      <c r="W160" s="53"/>
      <c r="X160" s="53"/>
      <c r="Y160" s="53"/>
      <c r="Z160" s="53"/>
      <c r="AA160" s="53"/>
      <c r="AB160" s="53"/>
      <c r="AC160" s="53"/>
      <c r="AD160" s="53"/>
      <c r="AE160" s="63"/>
      <c r="AF160" s="65"/>
    </row>
    <row r="161" spans="2:32" ht="23.4" x14ac:dyDescent="0.25">
      <c r="B161" s="66" t="s">
        <v>264</v>
      </c>
      <c r="C161" s="66"/>
      <c r="D161" s="66">
        <v>0</v>
      </c>
      <c r="E161" s="49" t="str">
        <f t="shared" ref="E161:E170" si="17">IF(H247*D161=0,"",H247*D161)</f>
        <v/>
      </c>
      <c r="F161" s="71"/>
      <c r="G161" s="81"/>
      <c r="H161" s="67" t="s">
        <v>196</v>
      </c>
      <c r="I161" s="62"/>
      <c r="J161" s="72"/>
      <c r="K161" s="72"/>
      <c r="L161" s="56"/>
      <c r="M161" s="56"/>
      <c r="N161" s="56" t="str">
        <f t="shared" ref="N161:N170" si="18">E161</f>
        <v/>
      </c>
      <c r="O161" s="56"/>
      <c r="P161" s="56"/>
      <c r="Q161" s="56"/>
      <c r="R161" s="56" t="str">
        <f>E161</f>
        <v/>
      </c>
      <c r="S161" s="73"/>
      <c r="T161" s="73"/>
      <c r="U161" s="73"/>
      <c r="V161" s="73" t="str">
        <f>E161</f>
        <v/>
      </c>
      <c r="W161" s="74"/>
      <c r="X161" s="74"/>
      <c r="Y161" s="74"/>
      <c r="Z161" s="74" t="str">
        <f t="shared" ref="Z161:Z170" si="19">E161</f>
        <v/>
      </c>
      <c r="AA161" s="74"/>
      <c r="AB161" s="74"/>
      <c r="AC161" s="74"/>
      <c r="AD161" s="53" t="str">
        <f t="shared" ref="AD161:AD170" si="20">E161</f>
        <v/>
      </c>
      <c r="AE161" s="63" t="str">
        <f t="shared" ref="AE161:AE170" si="21">E161</f>
        <v/>
      </c>
      <c r="AF161" s="65"/>
    </row>
    <row r="162" spans="2:32" ht="23.4" x14ac:dyDescent="0.25">
      <c r="B162" s="66" t="s">
        <v>265</v>
      </c>
      <c r="C162" s="66"/>
      <c r="D162" s="66">
        <v>0</v>
      </c>
      <c r="E162" s="49" t="str">
        <f t="shared" si="17"/>
        <v/>
      </c>
      <c r="F162" s="71"/>
      <c r="G162" s="81"/>
      <c r="H162" s="67" t="s">
        <v>198</v>
      </c>
      <c r="I162" s="75"/>
      <c r="J162" s="76"/>
      <c r="K162" s="72"/>
      <c r="L162" s="56"/>
      <c r="M162" s="56"/>
      <c r="N162" s="56" t="str">
        <f t="shared" si="18"/>
        <v/>
      </c>
      <c r="O162" s="56"/>
      <c r="P162" s="56"/>
      <c r="Q162" s="56"/>
      <c r="R162" s="56" t="str">
        <f>E162</f>
        <v/>
      </c>
      <c r="S162" s="73"/>
      <c r="T162" s="73"/>
      <c r="U162" s="73"/>
      <c r="V162" s="73" t="str">
        <f>E162</f>
        <v/>
      </c>
      <c r="W162" s="74"/>
      <c r="X162" s="74"/>
      <c r="Y162" s="74"/>
      <c r="Z162" s="74" t="str">
        <f t="shared" si="19"/>
        <v/>
      </c>
      <c r="AA162" s="74"/>
      <c r="AB162" s="74"/>
      <c r="AC162" s="74"/>
      <c r="AD162" s="53" t="str">
        <f t="shared" si="20"/>
        <v/>
      </c>
      <c r="AE162" s="63" t="str">
        <f t="shared" si="21"/>
        <v/>
      </c>
      <c r="AF162" s="65"/>
    </row>
    <row r="163" spans="2:32" x14ac:dyDescent="0.25">
      <c r="B163" s="66" t="s">
        <v>266</v>
      </c>
      <c r="C163" s="66"/>
      <c r="D163" s="66">
        <v>0</v>
      </c>
      <c r="E163" s="49" t="str">
        <f t="shared" si="17"/>
        <v/>
      </c>
      <c r="F163" s="71"/>
      <c r="G163" s="81"/>
      <c r="H163" s="67" t="s">
        <v>200</v>
      </c>
      <c r="I163" s="75"/>
      <c r="J163" s="76"/>
      <c r="K163" s="72"/>
      <c r="L163" s="56"/>
      <c r="M163" s="56"/>
      <c r="N163" s="56" t="str">
        <f t="shared" si="18"/>
        <v/>
      </c>
      <c r="O163" s="56"/>
      <c r="P163" s="56"/>
      <c r="Q163" s="56"/>
      <c r="R163" s="56"/>
      <c r="S163" s="73"/>
      <c r="T163" s="73"/>
      <c r="U163" s="73"/>
      <c r="V163" s="73"/>
      <c r="W163" s="74"/>
      <c r="X163" s="74" t="str">
        <f>E163</f>
        <v/>
      </c>
      <c r="Y163" s="74"/>
      <c r="Z163" s="74" t="str">
        <f t="shared" si="19"/>
        <v/>
      </c>
      <c r="AA163" s="74"/>
      <c r="AB163" s="74"/>
      <c r="AC163" s="74"/>
      <c r="AD163" s="53" t="str">
        <f t="shared" si="20"/>
        <v/>
      </c>
      <c r="AE163" s="63" t="str">
        <f t="shared" si="21"/>
        <v/>
      </c>
      <c r="AF163" s="65"/>
    </row>
    <row r="164" spans="2:32" x14ac:dyDescent="0.25">
      <c r="B164" s="66" t="s">
        <v>267</v>
      </c>
      <c r="C164" s="66"/>
      <c r="D164" s="66">
        <v>0</v>
      </c>
      <c r="E164" s="49" t="str">
        <f t="shared" si="17"/>
        <v/>
      </c>
      <c r="F164" s="71"/>
      <c r="G164" s="81"/>
      <c r="H164" s="67" t="s">
        <v>214</v>
      </c>
      <c r="I164" s="77"/>
      <c r="J164" s="72"/>
      <c r="K164" s="72"/>
      <c r="L164" s="56"/>
      <c r="M164" s="56"/>
      <c r="N164" s="56" t="str">
        <f t="shared" si="18"/>
        <v/>
      </c>
      <c r="O164" s="56"/>
      <c r="P164" s="56"/>
      <c r="Q164" s="56"/>
      <c r="R164" s="56"/>
      <c r="S164" s="73"/>
      <c r="T164" s="73"/>
      <c r="U164" s="73"/>
      <c r="V164" s="73"/>
      <c r="W164" s="74"/>
      <c r="X164" s="74"/>
      <c r="Y164" s="74"/>
      <c r="Z164" s="74" t="str">
        <f t="shared" si="19"/>
        <v/>
      </c>
      <c r="AA164" s="74"/>
      <c r="AB164" s="74"/>
      <c r="AC164" s="74"/>
      <c r="AD164" s="53" t="str">
        <f t="shared" si="20"/>
        <v/>
      </c>
      <c r="AE164" s="63" t="str">
        <f t="shared" si="21"/>
        <v/>
      </c>
      <c r="AF164" s="65"/>
    </row>
    <row r="165" spans="2:32" x14ac:dyDescent="0.25">
      <c r="B165" s="66" t="s">
        <v>290</v>
      </c>
      <c r="C165" s="66"/>
      <c r="D165" s="66">
        <v>0</v>
      </c>
      <c r="E165" s="49" t="str">
        <f t="shared" si="17"/>
        <v/>
      </c>
      <c r="F165" s="71"/>
      <c r="G165" s="81"/>
      <c r="H165" s="67" t="s">
        <v>214</v>
      </c>
      <c r="I165" s="78"/>
      <c r="J165" s="72"/>
      <c r="K165" s="72"/>
      <c r="L165" s="56"/>
      <c r="M165" s="56"/>
      <c r="N165" s="56" t="str">
        <f t="shared" si="18"/>
        <v/>
      </c>
      <c r="O165" s="56"/>
      <c r="P165" s="56"/>
      <c r="Q165" s="56"/>
      <c r="R165" s="56"/>
      <c r="S165" s="73"/>
      <c r="T165" s="73"/>
      <c r="U165" s="73"/>
      <c r="V165" s="73"/>
      <c r="W165" s="74"/>
      <c r="X165" s="74"/>
      <c r="Y165" s="74"/>
      <c r="Z165" s="74" t="str">
        <f t="shared" si="19"/>
        <v/>
      </c>
      <c r="AA165" s="74"/>
      <c r="AB165" s="74"/>
      <c r="AC165" s="74"/>
      <c r="AD165" s="53" t="str">
        <f t="shared" si="20"/>
        <v/>
      </c>
      <c r="AE165" s="63" t="str">
        <f t="shared" si="21"/>
        <v/>
      </c>
      <c r="AF165" s="65"/>
    </row>
    <row r="166" spans="2:32" x14ac:dyDescent="0.25">
      <c r="B166" s="66" t="s">
        <v>268</v>
      </c>
      <c r="C166" s="66"/>
      <c r="D166" s="66">
        <v>1</v>
      </c>
      <c r="E166" s="49" t="str">
        <f t="shared" si="17"/>
        <v/>
      </c>
      <c r="F166" s="71"/>
      <c r="G166" s="81"/>
      <c r="H166" s="67" t="s">
        <v>200</v>
      </c>
      <c r="I166" s="79"/>
      <c r="J166" s="72"/>
      <c r="K166" s="72"/>
      <c r="L166" s="56"/>
      <c r="M166" s="56"/>
      <c r="N166" s="56" t="str">
        <f t="shared" si="18"/>
        <v/>
      </c>
      <c r="O166" s="56"/>
      <c r="P166" s="56"/>
      <c r="Q166" s="56"/>
      <c r="R166" s="56"/>
      <c r="S166" s="73"/>
      <c r="T166" s="73"/>
      <c r="U166" s="73"/>
      <c r="V166" s="73"/>
      <c r="W166" s="74"/>
      <c r="X166" s="74"/>
      <c r="Y166" s="74"/>
      <c r="Z166" s="74" t="str">
        <f t="shared" si="19"/>
        <v/>
      </c>
      <c r="AA166" s="74"/>
      <c r="AB166" s="74"/>
      <c r="AC166" s="74"/>
      <c r="AD166" s="53" t="str">
        <f t="shared" si="20"/>
        <v/>
      </c>
      <c r="AE166" s="63" t="str">
        <f t="shared" si="21"/>
        <v/>
      </c>
      <c r="AF166" s="65"/>
    </row>
    <row r="167" spans="2:32" ht="23.4" x14ac:dyDescent="0.25">
      <c r="B167" s="66" t="s">
        <v>269</v>
      </c>
      <c r="C167" s="66"/>
      <c r="D167" s="66">
        <v>0</v>
      </c>
      <c r="E167" s="49" t="str">
        <f t="shared" si="17"/>
        <v/>
      </c>
      <c r="F167" s="71"/>
      <c r="G167" s="81"/>
      <c r="H167" s="67" t="s">
        <v>52</v>
      </c>
      <c r="I167" s="79"/>
      <c r="J167" s="72"/>
      <c r="K167" s="72"/>
      <c r="L167" s="56"/>
      <c r="M167" s="56"/>
      <c r="N167" s="56" t="str">
        <f t="shared" si="18"/>
        <v/>
      </c>
      <c r="O167" s="56"/>
      <c r="P167" s="56"/>
      <c r="Q167" s="56"/>
      <c r="R167" s="56" t="str">
        <f>E167</f>
        <v/>
      </c>
      <c r="S167" s="73"/>
      <c r="T167" s="73"/>
      <c r="U167" s="73"/>
      <c r="V167" s="73" t="str">
        <f>E167</f>
        <v/>
      </c>
      <c r="W167" s="74"/>
      <c r="X167" s="74"/>
      <c r="Y167" s="74"/>
      <c r="Z167" s="74" t="str">
        <f t="shared" si="19"/>
        <v/>
      </c>
      <c r="AA167" s="74"/>
      <c r="AB167" s="74"/>
      <c r="AC167" s="74"/>
      <c r="AD167" s="53" t="str">
        <f t="shared" si="20"/>
        <v/>
      </c>
      <c r="AE167" s="63" t="str">
        <f t="shared" si="21"/>
        <v/>
      </c>
      <c r="AF167" s="65"/>
    </row>
    <row r="168" spans="2:32" x14ac:dyDescent="0.25">
      <c r="B168" s="66" t="s">
        <v>253</v>
      </c>
      <c r="C168" s="66"/>
      <c r="D168" s="66">
        <v>0</v>
      </c>
      <c r="E168" s="49" t="str">
        <f t="shared" si="17"/>
        <v/>
      </c>
      <c r="F168" s="80"/>
      <c r="G168" s="317"/>
      <c r="H168" s="67" t="s">
        <v>200</v>
      </c>
      <c r="I168" s="79"/>
      <c r="J168" s="72"/>
      <c r="K168" s="72"/>
      <c r="L168" s="56"/>
      <c r="M168" s="56"/>
      <c r="N168" s="56" t="str">
        <f t="shared" si="18"/>
        <v/>
      </c>
      <c r="O168" s="56"/>
      <c r="P168" s="56"/>
      <c r="Q168" s="56"/>
      <c r="R168" s="56"/>
      <c r="S168" s="73"/>
      <c r="T168" s="73"/>
      <c r="U168" s="73"/>
      <c r="V168" s="73"/>
      <c r="W168" s="74"/>
      <c r="X168" s="74" t="str">
        <f>E168</f>
        <v/>
      </c>
      <c r="Y168" s="74"/>
      <c r="Z168" s="74" t="str">
        <f t="shared" si="19"/>
        <v/>
      </c>
      <c r="AA168" s="74"/>
      <c r="AB168" s="74"/>
      <c r="AC168" s="74"/>
      <c r="AD168" s="53" t="str">
        <f t="shared" si="20"/>
        <v/>
      </c>
      <c r="AE168" s="63" t="str">
        <f t="shared" si="21"/>
        <v/>
      </c>
      <c r="AF168" s="65"/>
    </row>
    <row r="169" spans="2:32" ht="23.4" x14ac:dyDescent="0.25">
      <c r="B169" s="66" t="s">
        <v>270</v>
      </c>
      <c r="C169" s="66"/>
      <c r="D169" s="66">
        <v>0</v>
      </c>
      <c r="E169" s="49" t="str">
        <f t="shared" si="17"/>
        <v/>
      </c>
      <c r="F169" s="71"/>
      <c r="G169" s="81"/>
      <c r="H169" s="67" t="s">
        <v>220</v>
      </c>
      <c r="I169" s="79"/>
      <c r="J169" s="72"/>
      <c r="K169" s="72"/>
      <c r="L169" s="56"/>
      <c r="M169" s="56"/>
      <c r="N169" s="56" t="str">
        <f t="shared" si="18"/>
        <v/>
      </c>
      <c r="O169" s="56"/>
      <c r="P169" s="56"/>
      <c r="Q169" s="56"/>
      <c r="R169" s="56"/>
      <c r="S169" s="73"/>
      <c r="T169" s="73"/>
      <c r="U169" s="73" t="str">
        <f>E169</f>
        <v/>
      </c>
      <c r="V169" s="73"/>
      <c r="W169" s="74" t="str">
        <f>E169</f>
        <v/>
      </c>
      <c r="X169" s="74"/>
      <c r="Y169" s="74"/>
      <c r="Z169" s="74" t="str">
        <f t="shared" si="19"/>
        <v/>
      </c>
      <c r="AA169" s="74"/>
      <c r="AB169" s="74"/>
      <c r="AC169" s="74"/>
      <c r="AD169" s="53" t="str">
        <f t="shared" si="20"/>
        <v/>
      </c>
      <c r="AE169" s="63" t="str">
        <f t="shared" si="21"/>
        <v/>
      </c>
      <c r="AF169" s="65"/>
    </row>
    <row r="170" spans="2:32" ht="23.4" x14ac:dyDescent="0.25">
      <c r="B170" s="66" t="s">
        <v>271</v>
      </c>
      <c r="C170" s="66"/>
      <c r="D170" s="66">
        <v>0</v>
      </c>
      <c r="E170" s="49" t="str">
        <f t="shared" si="17"/>
        <v/>
      </c>
      <c r="F170" s="71"/>
      <c r="G170" s="81"/>
      <c r="H170" s="67" t="s">
        <v>222</v>
      </c>
      <c r="I170" s="79"/>
      <c r="J170" s="72"/>
      <c r="K170" s="72"/>
      <c r="L170" s="56"/>
      <c r="M170" s="56"/>
      <c r="N170" s="56" t="str">
        <f t="shared" si="18"/>
        <v/>
      </c>
      <c r="O170" s="56"/>
      <c r="P170" s="56"/>
      <c r="Q170" s="56"/>
      <c r="R170" s="56" t="str">
        <f>E170</f>
        <v/>
      </c>
      <c r="S170" s="73"/>
      <c r="T170" s="73"/>
      <c r="U170" s="73"/>
      <c r="V170" s="73" t="str">
        <f>E170</f>
        <v/>
      </c>
      <c r="W170" s="74"/>
      <c r="X170" s="74"/>
      <c r="Y170" s="74"/>
      <c r="Z170" s="74" t="str">
        <f t="shared" si="19"/>
        <v/>
      </c>
      <c r="AA170" s="74"/>
      <c r="AB170" s="74"/>
      <c r="AC170" s="74"/>
      <c r="AD170" s="53" t="str">
        <f t="shared" si="20"/>
        <v/>
      </c>
      <c r="AE170" s="63" t="str">
        <f t="shared" si="21"/>
        <v/>
      </c>
      <c r="AF170" s="65"/>
    </row>
    <row r="171" spans="2:32" x14ac:dyDescent="0.25">
      <c r="B171" s="70" t="s">
        <v>288</v>
      </c>
      <c r="C171" s="70"/>
      <c r="D171" s="66"/>
      <c r="E171" s="49"/>
      <c r="F171" s="60"/>
      <c r="G171" s="154"/>
      <c r="H171" s="67"/>
      <c r="I171" s="62"/>
      <c r="J171" s="53"/>
      <c r="K171" s="53"/>
      <c r="L171" s="57"/>
      <c r="M171" s="57"/>
      <c r="N171" s="57"/>
      <c r="O171" s="57"/>
      <c r="P171" s="57"/>
      <c r="Q171" s="57"/>
      <c r="R171" s="56"/>
      <c r="S171" s="64"/>
      <c r="T171" s="64"/>
      <c r="U171" s="64"/>
      <c r="V171" s="73"/>
      <c r="W171" s="63"/>
      <c r="X171" s="63"/>
      <c r="Y171" s="63"/>
      <c r="Z171" s="63"/>
      <c r="AA171" s="63"/>
      <c r="AB171" s="63"/>
      <c r="AC171" s="63"/>
      <c r="AD171" s="53"/>
      <c r="AE171" s="63"/>
      <c r="AF171" s="65"/>
    </row>
    <row r="172" spans="2:32" ht="34.799999999999997" x14ac:dyDescent="0.25">
      <c r="B172" s="66" t="s">
        <v>272</v>
      </c>
      <c r="C172" s="66"/>
      <c r="D172" s="66">
        <v>0</v>
      </c>
      <c r="E172" s="49" t="str">
        <f t="shared" ref="E172:E187" si="22">IF(H257*D172=0,"",H257*D172)</f>
        <v/>
      </c>
      <c r="F172" s="81"/>
      <c r="G172" s="81"/>
      <c r="H172" s="67" t="s">
        <v>225</v>
      </c>
      <c r="I172" s="82" t="s">
        <v>226</v>
      </c>
      <c r="J172" s="83"/>
      <c r="K172" s="83"/>
      <c r="L172" s="84"/>
      <c r="M172" s="84" t="str">
        <f>E172</f>
        <v/>
      </c>
      <c r="N172" s="56"/>
      <c r="O172" s="84"/>
      <c r="P172" s="84" t="str">
        <f>E172</f>
        <v/>
      </c>
      <c r="Q172" s="56" t="str">
        <f>E172</f>
        <v/>
      </c>
      <c r="R172" s="84"/>
      <c r="S172" s="85"/>
      <c r="T172" s="85" t="str">
        <f>E172</f>
        <v/>
      </c>
      <c r="U172" s="85"/>
      <c r="V172" s="85"/>
      <c r="W172" s="86" t="str">
        <f t="shared" ref="W172:W182" si="23">E172</f>
        <v/>
      </c>
      <c r="X172" s="86"/>
      <c r="Y172" s="86" t="str">
        <f t="shared" ref="Y172:Y177" si="24">E172</f>
        <v/>
      </c>
      <c r="Z172" s="86" t="str">
        <f>E172</f>
        <v/>
      </c>
      <c r="AA172" s="86" t="str">
        <f t="shared" ref="AA172:AA178" si="25">E172</f>
        <v/>
      </c>
      <c r="AB172" s="86"/>
      <c r="AC172" s="86" t="str">
        <f t="shared" ref="AC172:AC179" si="26">E172</f>
        <v/>
      </c>
      <c r="AD172" s="53" t="str">
        <f t="shared" ref="AD172:AD182" si="27">E172</f>
        <v/>
      </c>
      <c r="AE172" s="63" t="str">
        <f t="shared" ref="AE172:AE183" si="28">E172</f>
        <v/>
      </c>
      <c r="AF172" s="65"/>
    </row>
    <row r="173" spans="2:32" ht="34.799999999999997" x14ac:dyDescent="0.25">
      <c r="B173" s="66" t="s">
        <v>273</v>
      </c>
      <c r="C173" s="66"/>
      <c r="D173" s="66">
        <v>1</v>
      </c>
      <c r="E173" s="49" t="str">
        <f t="shared" si="22"/>
        <v/>
      </c>
      <c r="F173" s="87"/>
      <c r="G173" s="87"/>
      <c r="H173" s="67" t="s">
        <v>228</v>
      </c>
      <c r="I173" s="82" t="s">
        <v>193</v>
      </c>
      <c r="J173" s="83"/>
      <c r="K173" s="83"/>
      <c r="L173" s="84"/>
      <c r="M173" s="84" t="str">
        <f>E173</f>
        <v/>
      </c>
      <c r="N173" s="56"/>
      <c r="O173" s="84"/>
      <c r="P173" s="84"/>
      <c r="Q173" s="56" t="str">
        <f>E173</f>
        <v/>
      </c>
      <c r="R173" s="84"/>
      <c r="S173" s="85" t="str">
        <f>E173</f>
        <v/>
      </c>
      <c r="T173" s="85" t="str">
        <f>E173</f>
        <v/>
      </c>
      <c r="U173" s="85"/>
      <c r="V173" s="85"/>
      <c r="W173" s="86" t="str">
        <f t="shared" si="23"/>
        <v/>
      </c>
      <c r="X173" s="86"/>
      <c r="Y173" s="86" t="str">
        <f t="shared" si="24"/>
        <v/>
      </c>
      <c r="Z173" s="86" t="str">
        <f>E173</f>
        <v/>
      </c>
      <c r="AA173" s="86" t="str">
        <f t="shared" si="25"/>
        <v/>
      </c>
      <c r="AB173" s="86"/>
      <c r="AC173" s="86" t="str">
        <f t="shared" si="26"/>
        <v/>
      </c>
      <c r="AD173" s="53" t="str">
        <f t="shared" si="27"/>
        <v/>
      </c>
      <c r="AE173" s="63" t="str">
        <f t="shared" si="28"/>
        <v/>
      </c>
      <c r="AF173" s="65"/>
    </row>
    <row r="174" spans="2:32" ht="34.799999999999997" x14ac:dyDescent="0.25">
      <c r="B174" s="66" t="s">
        <v>274</v>
      </c>
      <c r="C174" s="66"/>
      <c r="D174" s="66">
        <v>0</v>
      </c>
      <c r="E174" s="49" t="str">
        <f t="shared" si="22"/>
        <v/>
      </c>
      <c r="F174" s="88"/>
      <c r="G174" s="88"/>
      <c r="H174" s="67" t="s">
        <v>228</v>
      </c>
      <c r="I174" s="79"/>
      <c r="J174" s="83"/>
      <c r="K174" s="83"/>
      <c r="L174" s="84"/>
      <c r="M174" s="84" t="str">
        <f>E174</f>
        <v/>
      </c>
      <c r="N174" s="56"/>
      <c r="O174" s="84"/>
      <c r="P174" s="84"/>
      <c r="Q174" s="56" t="str">
        <f>E174</f>
        <v/>
      </c>
      <c r="R174" s="84"/>
      <c r="S174" s="85" t="str">
        <f>E174</f>
        <v/>
      </c>
      <c r="T174" s="85" t="str">
        <f>E174</f>
        <v/>
      </c>
      <c r="U174" s="85"/>
      <c r="V174" s="85"/>
      <c r="W174" s="86" t="str">
        <f t="shared" si="23"/>
        <v/>
      </c>
      <c r="X174" s="86"/>
      <c r="Y174" s="86" t="str">
        <f t="shared" si="24"/>
        <v/>
      </c>
      <c r="Z174" s="86" t="str">
        <f>E174</f>
        <v/>
      </c>
      <c r="AA174" s="86" t="str">
        <f t="shared" si="25"/>
        <v/>
      </c>
      <c r="AB174" s="86"/>
      <c r="AC174" s="86" t="str">
        <f t="shared" si="26"/>
        <v/>
      </c>
      <c r="AD174" s="53" t="str">
        <f t="shared" si="27"/>
        <v/>
      </c>
      <c r="AE174" s="63" t="str">
        <f t="shared" si="28"/>
        <v/>
      </c>
      <c r="AF174" s="65"/>
    </row>
    <row r="175" spans="2:32" ht="34.799999999999997" x14ac:dyDescent="0.25">
      <c r="B175" s="66" t="s">
        <v>275</v>
      </c>
      <c r="C175" s="66"/>
      <c r="D175" s="66">
        <v>0</v>
      </c>
      <c r="E175" s="49" t="str">
        <f t="shared" si="22"/>
        <v/>
      </c>
      <c r="F175" s="81"/>
      <c r="G175" s="81"/>
      <c r="H175" s="67" t="s">
        <v>228</v>
      </c>
      <c r="I175" s="79"/>
      <c r="J175" s="83"/>
      <c r="K175" s="83"/>
      <c r="L175" s="84"/>
      <c r="M175" s="84" t="str">
        <f>E175</f>
        <v/>
      </c>
      <c r="N175" s="56"/>
      <c r="O175" s="84"/>
      <c r="P175" s="84"/>
      <c r="Q175" s="56" t="str">
        <f>E175</f>
        <v/>
      </c>
      <c r="R175" s="84"/>
      <c r="S175" s="85" t="str">
        <f>E175</f>
        <v/>
      </c>
      <c r="T175" s="85" t="str">
        <f>E175</f>
        <v/>
      </c>
      <c r="U175" s="85"/>
      <c r="V175" s="85"/>
      <c r="W175" s="86" t="str">
        <f t="shared" si="23"/>
        <v/>
      </c>
      <c r="X175" s="86"/>
      <c r="Y175" s="86" t="str">
        <f t="shared" si="24"/>
        <v/>
      </c>
      <c r="Z175" s="86" t="str">
        <f>E175</f>
        <v/>
      </c>
      <c r="AA175" s="86" t="str">
        <f t="shared" si="25"/>
        <v/>
      </c>
      <c r="AB175" s="86"/>
      <c r="AC175" s="86" t="str">
        <f t="shared" si="26"/>
        <v/>
      </c>
      <c r="AD175" s="53" t="str">
        <f t="shared" si="27"/>
        <v/>
      </c>
      <c r="AE175" s="63" t="str">
        <f t="shared" si="28"/>
        <v/>
      </c>
      <c r="AF175" s="65"/>
    </row>
    <row r="176" spans="2:32" ht="34.799999999999997" x14ac:dyDescent="0.25">
      <c r="B176" s="66" t="s">
        <v>276</v>
      </c>
      <c r="C176" s="66"/>
      <c r="D176" s="66">
        <v>0</v>
      </c>
      <c r="E176" s="49" t="str">
        <f t="shared" si="22"/>
        <v/>
      </c>
      <c r="F176" s="81"/>
      <c r="G176" s="81"/>
      <c r="H176" s="67" t="s">
        <v>228</v>
      </c>
      <c r="I176" s="79"/>
      <c r="J176" s="83"/>
      <c r="K176" s="83"/>
      <c r="L176" s="84"/>
      <c r="M176" s="84" t="str">
        <f>E176</f>
        <v/>
      </c>
      <c r="N176" s="56"/>
      <c r="O176" s="84"/>
      <c r="P176" s="84"/>
      <c r="Q176" s="56" t="str">
        <f>E176</f>
        <v/>
      </c>
      <c r="R176" s="84"/>
      <c r="S176" s="85" t="str">
        <f>E176</f>
        <v/>
      </c>
      <c r="T176" s="85" t="str">
        <f>E176</f>
        <v/>
      </c>
      <c r="U176" s="85"/>
      <c r="V176" s="85"/>
      <c r="W176" s="86" t="str">
        <f t="shared" si="23"/>
        <v/>
      </c>
      <c r="X176" s="86"/>
      <c r="Y176" s="86" t="str">
        <f t="shared" si="24"/>
        <v/>
      </c>
      <c r="Z176" s="86" t="str">
        <f>E176</f>
        <v/>
      </c>
      <c r="AA176" s="86" t="str">
        <f t="shared" si="25"/>
        <v/>
      </c>
      <c r="AB176" s="86"/>
      <c r="AC176" s="86" t="str">
        <f t="shared" si="26"/>
        <v/>
      </c>
      <c r="AD176" s="53" t="str">
        <f t="shared" si="27"/>
        <v/>
      </c>
      <c r="AE176" s="63" t="str">
        <f t="shared" si="28"/>
        <v/>
      </c>
      <c r="AF176" s="65"/>
    </row>
    <row r="177" spans="2:32" ht="23.4" x14ac:dyDescent="0.25">
      <c r="B177" s="66" t="s">
        <v>277</v>
      </c>
      <c r="C177" s="66"/>
      <c r="D177" s="66">
        <v>0</v>
      </c>
      <c r="E177" s="49" t="str">
        <f t="shared" si="22"/>
        <v/>
      </c>
      <c r="F177" s="81"/>
      <c r="G177" s="81"/>
      <c r="H177" s="67" t="s">
        <v>233</v>
      </c>
      <c r="I177" s="89"/>
      <c r="J177" s="90"/>
      <c r="K177" s="83"/>
      <c r="L177" s="84"/>
      <c r="M177" s="84"/>
      <c r="N177" s="84"/>
      <c r="O177" s="84"/>
      <c r="P177" s="84"/>
      <c r="Q177" s="84"/>
      <c r="R177" s="56"/>
      <c r="S177" s="85"/>
      <c r="T177" s="85"/>
      <c r="U177" s="85"/>
      <c r="V177" s="85"/>
      <c r="W177" s="86" t="str">
        <f t="shared" si="23"/>
        <v/>
      </c>
      <c r="X177" s="86"/>
      <c r="Y177" s="86" t="str">
        <f t="shared" si="24"/>
        <v/>
      </c>
      <c r="Z177" s="86"/>
      <c r="AA177" s="86" t="str">
        <f t="shared" si="25"/>
        <v/>
      </c>
      <c r="AB177" s="86"/>
      <c r="AC177" s="74" t="str">
        <f t="shared" si="26"/>
        <v/>
      </c>
      <c r="AD177" s="53" t="str">
        <f t="shared" si="27"/>
        <v/>
      </c>
      <c r="AE177" s="63" t="str">
        <f t="shared" si="28"/>
        <v/>
      </c>
      <c r="AF177" s="65"/>
    </row>
    <row r="178" spans="2:32" ht="23.4" x14ac:dyDescent="0.25">
      <c r="B178" s="66" t="s">
        <v>278</v>
      </c>
      <c r="C178" s="66"/>
      <c r="D178" s="66">
        <v>0</v>
      </c>
      <c r="E178" s="49" t="str">
        <f t="shared" si="22"/>
        <v/>
      </c>
      <c r="F178" s="81"/>
      <c r="G178" s="81"/>
      <c r="H178" s="67" t="s">
        <v>235</v>
      </c>
      <c r="I178" s="82" t="s">
        <v>236</v>
      </c>
      <c r="J178" s="90"/>
      <c r="K178" s="83" t="str">
        <f>E178</f>
        <v/>
      </c>
      <c r="L178" s="84" t="str">
        <f>E178</f>
        <v/>
      </c>
      <c r="M178" s="84"/>
      <c r="N178" s="84"/>
      <c r="O178" s="84"/>
      <c r="P178" s="84"/>
      <c r="Q178" s="84"/>
      <c r="R178" s="84"/>
      <c r="S178" s="85"/>
      <c r="T178" s="85"/>
      <c r="U178" s="85"/>
      <c r="V178" s="85"/>
      <c r="W178" s="86" t="str">
        <f t="shared" si="23"/>
        <v/>
      </c>
      <c r="X178" s="86"/>
      <c r="Y178" s="86"/>
      <c r="Z178" s="86"/>
      <c r="AA178" s="86" t="str">
        <f t="shared" si="25"/>
        <v/>
      </c>
      <c r="AB178" s="86"/>
      <c r="AC178" s="86" t="str">
        <f t="shared" si="26"/>
        <v/>
      </c>
      <c r="AD178" s="53" t="str">
        <f t="shared" si="27"/>
        <v/>
      </c>
      <c r="AE178" s="63" t="str">
        <f t="shared" si="28"/>
        <v/>
      </c>
      <c r="AF178" s="65"/>
    </row>
    <row r="179" spans="2:32" x14ac:dyDescent="0.25">
      <c r="B179" s="66" t="s">
        <v>279</v>
      </c>
      <c r="C179" s="66"/>
      <c r="D179" s="66">
        <v>0</v>
      </c>
      <c r="E179" s="49" t="str">
        <f t="shared" si="22"/>
        <v/>
      </c>
      <c r="F179" s="81"/>
      <c r="G179" s="81"/>
      <c r="H179" s="91" t="s">
        <v>176</v>
      </c>
      <c r="I179" s="89"/>
      <c r="J179" s="90"/>
      <c r="K179" s="83"/>
      <c r="L179" s="84"/>
      <c r="M179" s="84"/>
      <c r="N179" s="84"/>
      <c r="O179" s="84"/>
      <c r="P179" s="84"/>
      <c r="Q179" s="84"/>
      <c r="R179" s="56" t="str">
        <f>E179</f>
        <v/>
      </c>
      <c r="S179" s="85"/>
      <c r="T179" s="85"/>
      <c r="U179" s="85"/>
      <c r="V179" s="85"/>
      <c r="W179" s="86" t="str">
        <f t="shared" si="23"/>
        <v/>
      </c>
      <c r="X179" s="86"/>
      <c r="Y179" s="86"/>
      <c r="Z179" s="86"/>
      <c r="AA179" s="86"/>
      <c r="AB179" s="86"/>
      <c r="AC179" s="74" t="str">
        <f t="shared" si="26"/>
        <v/>
      </c>
      <c r="AD179" s="53" t="str">
        <f t="shared" si="27"/>
        <v/>
      </c>
      <c r="AE179" s="63" t="str">
        <f t="shared" si="28"/>
        <v/>
      </c>
      <c r="AF179" s="65"/>
    </row>
    <row r="180" spans="2:32" x14ac:dyDescent="0.25">
      <c r="B180" s="66" t="s">
        <v>280</v>
      </c>
      <c r="C180" s="66"/>
      <c r="D180" s="66">
        <v>0</v>
      </c>
      <c r="E180" s="49" t="str">
        <f t="shared" si="22"/>
        <v/>
      </c>
      <c r="F180" s="81"/>
      <c r="G180" s="81"/>
      <c r="H180" s="91" t="s">
        <v>238</v>
      </c>
      <c r="I180" s="89"/>
      <c r="J180" s="90"/>
      <c r="K180" s="83"/>
      <c r="L180" s="84"/>
      <c r="M180" s="84"/>
      <c r="N180" s="84"/>
      <c r="O180" s="84"/>
      <c r="P180" s="84"/>
      <c r="Q180" s="84"/>
      <c r="R180" s="84" t="str">
        <f>E180</f>
        <v/>
      </c>
      <c r="S180" s="85"/>
      <c r="T180" s="85"/>
      <c r="U180" s="85"/>
      <c r="V180" s="85"/>
      <c r="W180" s="86" t="str">
        <f t="shared" si="23"/>
        <v/>
      </c>
      <c r="X180" s="86"/>
      <c r="Y180" s="86"/>
      <c r="Z180" s="86"/>
      <c r="AA180" s="86"/>
      <c r="AB180" s="86"/>
      <c r="AC180" s="86"/>
      <c r="AD180" s="53" t="str">
        <f t="shared" si="27"/>
        <v/>
      </c>
      <c r="AE180" s="63" t="str">
        <f t="shared" si="28"/>
        <v/>
      </c>
      <c r="AF180" s="65"/>
    </row>
    <row r="181" spans="2:32" x14ac:dyDescent="0.25">
      <c r="B181" s="66" t="s">
        <v>281</v>
      </c>
      <c r="C181" s="66"/>
      <c r="D181" s="66">
        <v>0</v>
      </c>
      <c r="E181" s="49" t="str">
        <f t="shared" si="22"/>
        <v/>
      </c>
      <c r="F181" s="81"/>
      <c r="G181" s="81"/>
      <c r="H181" s="91" t="s">
        <v>238</v>
      </c>
      <c r="I181" s="89"/>
      <c r="J181" s="90"/>
      <c r="K181" s="83"/>
      <c r="L181" s="84"/>
      <c r="M181" s="84"/>
      <c r="N181" s="84"/>
      <c r="O181" s="84"/>
      <c r="P181" s="84"/>
      <c r="Q181" s="84"/>
      <c r="R181" s="84" t="str">
        <f>E181</f>
        <v/>
      </c>
      <c r="S181" s="85"/>
      <c r="T181" s="85"/>
      <c r="U181" s="85"/>
      <c r="V181" s="85"/>
      <c r="W181" s="86" t="str">
        <f t="shared" si="23"/>
        <v/>
      </c>
      <c r="X181" s="86"/>
      <c r="Y181" s="86"/>
      <c r="Z181" s="86"/>
      <c r="AA181" s="86"/>
      <c r="AB181" s="86"/>
      <c r="AC181" s="74"/>
      <c r="AD181" s="53" t="str">
        <f t="shared" si="27"/>
        <v/>
      </c>
      <c r="AE181" s="63" t="str">
        <f t="shared" si="28"/>
        <v/>
      </c>
      <c r="AF181" s="65"/>
    </row>
    <row r="182" spans="2:32" ht="23.4" x14ac:dyDescent="0.25">
      <c r="B182" s="66" t="s">
        <v>282</v>
      </c>
      <c r="C182" s="66"/>
      <c r="D182" s="66">
        <v>0</v>
      </c>
      <c r="E182" s="49" t="str">
        <f t="shared" si="22"/>
        <v/>
      </c>
      <c r="F182" s="81"/>
      <c r="G182" s="81"/>
      <c r="H182" s="67" t="s">
        <v>241</v>
      </c>
      <c r="I182" s="89"/>
      <c r="J182" s="90"/>
      <c r="K182" s="83"/>
      <c r="L182" s="84"/>
      <c r="M182" s="84"/>
      <c r="N182" s="84"/>
      <c r="O182" s="84"/>
      <c r="P182" s="84"/>
      <c r="Q182" s="84"/>
      <c r="R182" s="84"/>
      <c r="S182" s="85"/>
      <c r="T182" s="85"/>
      <c r="U182" s="85"/>
      <c r="V182" s="85"/>
      <c r="W182" s="86" t="str">
        <f t="shared" si="23"/>
        <v/>
      </c>
      <c r="X182" s="86"/>
      <c r="Y182" s="86" t="str">
        <f>E182</f>
        <v/>
      </c>
      <c r="Z182" s="86"/>
      <c r="AA182" s="86"/>
      <c r="AB182" s="86"/>
      <c r="AC182" s="86" t="str">
        <f>E182</f>
        <v/>
      </c>
      <c r="AD182" s="53" t="str">
        <f t="shared" si="27"/>
        <v/>
      </c>
      <c r="AE182" s="63" t="str">
        <f t="shared" si="28"/>
        <v/>
      </c>
      <c r="AF182" s="65"/>
    </row>
    <row r="183" spans="2:32" ht="23.4" x14ac:dyDescent="0.25">
      <c r="B183" s="92" t="s">
        <v>283</v>
      </c>
      <c r="C183" s="92"/>
      <c r="D183" s="66">
        <v>0</v>
      </c>
      <c r="E183" s="49" t="str">
        <f t="shared" si="22"/>
        <v/>
      </c>
      <c r="F183" s="81"/>
      <c r="G183" s="81"/>
      <c r="H183" s="91" t="s">
        <v>243</v>
      </c>
      <c r="I183" s="89"/>
      <c r="J183" s="90" t="str">
        <f>E183</f>
        <v/>
      </c>
      <c r="K183" s="83"/>
      <c r="L183" s="84"/>
      <c r="M183" s="84"/>
      <c r="N183" s="84"/>
      <c r="O183" s="84"/>
      <c r="P183" s="84"/>
      <c r="Q183" s="84"/>
      <c r="R183" s="56"/>
      <c r="S183" s="85"/>
      <c r="T183" s="85"/>
      <c r="U183" s="85"/>
      <c r="V183" s="85"/>
      <c r="W183" s="86"/>
      <c r="X183" s="86"/>
      <c r="Y183" s="86"/>
      <c r="Z183" s="86"/>
      <c r="AA183" s="86"/>
      <c r="AB183" s="86"/>
      <c r="AC183" s="74"/>
      <c r="AD183" s="72"/>
      <c r="AE183" s="63" t="str">
        <f t="shared" si="28"/>
        <v/>
      </c>
      <c r="AF183" s="65"/>
    </row>
    <row r="184" spans="2:32" ht="23.4" x14ac:dyDescent="0.25">
      <c r="B184" s="92" t="s">
        <v>252</v>
      </c>
      <c r="C184" s="92"/>
      <c r="D184" s="66">
        <v>0</v>
      </c>
      <c r="E184" s="49" t="str">
        <f t="shared" si="22"/>
        <v/>
      </c>
      <c r="F184" s="81"/>
      <c r="G184" s="81"/>
      <c r="H184" s="91" t="s">
        <v>244</v>
      </c>
      <c r="I184" s="89"/>
      <c r="J184" s="90"/>
      <c r="K184" s="83"/>
      <c r="L184" s="84"/>
      <c r="M184" s="84"/>
      <c r="N184" s="84" t="str">
        <f>E184</f>
        <v/>
      </c>
      <c r="O184" s="84"/>
      <c r="P184" s="84"/>
      <c r="Q184" s="84"/>
      <c r="R184" s="84"/>
      <c r="S184" s="85"/>
      <c r="T184" s="85"/>
      <c r="U184" s="85"/>
      <c r="V184" s="85"/>
      <c r="W184" s="86"/>
      <c r="X184" s="86"/>
      <c r="Y184" s="86"/>
      <c r="Z184" s="86"/>
      <c r="AA184" s="86"/>
      <c r="AB184" s="86"/>
      <c r="AC184" s="86"/>
      <c r="AD184" s="72"/>
      <c r="AE184" s="63"/>
      <c r="AF184" s="65" t="str">
        <f>E184</f>
        <v/>
      </c>
    </row>
    <row r="185" spans="2:32" ht="46.2" x14ac:dyDescent="0.25">
      <c r="B185" s="66" t="s">
        <v>284</v>
      </c>
      <c r="C185" s="66"/>
      <c r="D185" s="66">
        <v>0</v>
      </c>
      <c r="E185" s="49" t="str">
        <f t="shared" si="22"/>
        <v/>
      </c>
      <c r="F185" s="81"/>
      <c r="G185" s="81"/>
      <c r="H185" s="67" t="s">
        <v>246</v>
      </c>
      <c r="I185" s="82" t="s">
        <v>251</v>
      </c>
      <c r="J185" s="90"/>
      <c r="K185" s="83"/>
      <c r="L185" s="84"/>
      <c r="M185" s="84" t="str">
        <f>E185</f>
        <v/>
      </c>
      <c r="N185" s="56"/>
      <c r="O185" s="84"/>
      <c r="P185" s="84"/>
      <c r="Q185" s="56" t="str">
        <f>E185</f>
        <v/>
      </c>
      <c r="R185" s="84"/>
      <c r="S185" s="85" t="str">
        <f>E185</f>
        <v/>
      </c>
      <c r="T185" s="85" t="str">
        <f>E185</f>
        <v/>
      </c>
      <c r="U185" s="85"/>
      <c r="V185" s="85"/>
      <c r="W185" s="86" t="str">
        <f>E185</f>
        <v/>
      </c>
      <c r="X185" s="86"/>
      <c r="Y185" s="86" t="str">
        <f>E185</f>
        <v/>
      </c>
      <c r="Z185" s="86" t="str">
        <f>E185</f>
        <v/>
      </c>
      <c r="AA185" s="86" t="str">
        <f>E185</f>
        <v/>
      </c>
      <c r="AB185" s="86"/>
      <c r="AC185" s="86" t="str">
        <f>E185</f>
        <v/>
      </c>
      <c r="AD185" s="53" t="str">
        <f>E185</f>
        <v/>
      </c>
      <c r="AE185" s="63" t="str">
        <f>E185</f>
        <v/>
      </c>
      <c r="AF185" s="65"/>
    </row>
    <row r="186" spans="2:32" x14ac:dyDescent="0.25">
      <c r="B186" s="66" t="s">
        <v>266</v>
      </c>
      <c r="C186" s="66"/>
      <c r="D186" s="66">
        <v>0</v>
      </c>
      <c r="E186" s="49" t="str">
        <f t="shared" si="22"/>
        <v/>
      </c>
      <c r="F186" s="81"/>
      <c r="G186" s="81"/>
      <c r="H186" s="93" t="s">
        <v>200</v>
      </c>
      <c r="I186" s="89"/>
      <c r="J186" s="90"/>
      <c r="K186" s="83"/>
      <c r="L186" s="84"/>
      <c r="M186" s="84"/>
      <c r="N186" s="84" t="str">
        <f>E186</f>
        <v/>
      </c>
      <c r="O186" s="84"/>
      <c r="P186" s="84"/>
      <c r="Q186" s="84"/>
      <c r="R186" s="84"/>
      <c r="S186" s="85"/>
      <c r="T186" s="85"/>
      <c r="U186" s="85"/>
      <c r="V186" s="85"/>
      <c r="W186" s="86"/>
      <c r="X186" s="86" t="str">
        <f>E186</f>
        <v/>
      </c>
      <c r="Y186" s="86"/>
      <c r="Z186" s="86" t="str">
        <f>E186</f>
        <v/>
      </c>
      <c r="AA186" s="86"/>
      <c r="AB186" s="86"/>
      <c r="AC186" s="86"/>
      <c r="AD186" s="53" t="str">
        <f>E186</f>
        <v/>
      </c>
      <c r="AE186" s="63" t="str">
        <f>E186</f>
        <v/>
      </c>
      <c r="AF186" s="65"/>
    </row>
    <row r="187" spans="2:32" x14ac:dyDescent="0.25">
      <c r="B187" s="66" t="s">
        <v>218</v>
      </c>
      <c r="C187" s="66"/>
      <c r="D187" s="66">
        <v>0</v>
      </c>
      <c r="E187" s="49" t="str">
        <f t="shared" si="22"/>
        <v/>
      </c>
      <c r="F187" s="81"/>
      <c r="G187" s="81"/>
      <c r="H187" s="93" t="s">
        <v>200</v>
      </c>
      <c r="I187" s="89"/>
      <c r="J187" s="90"/>
      <c r="K187" s="83"/>
      <c r="L187" s="84"/>
      <c r="M187" s="84"/>
      <c r="N187" s="84" t="str">
        <f>E187</f>
        <v/>
      </c>
      <c r="O187" s="84"/>
      <c r="P187" s="84"/>
      <c r="Q187" s="84"/>
      <c r="R187" s="84"/>
      <c r="S187" s="85"/>
      <c r="T187" s="85"/>
      <c r="U187" s="85"/>
      <c r="V187" s="85"/>
      <c r="W187" s="86"/>
      <c r="X187" s="86" t="str">
        <f>E187</f>
        <v/>
      </c>
      <c r="Y187" s="86"/>
      <c r="Z187" s="86" t="str">
        <f>E187</f>
        <v/>
      </c>
      <c r="AA187" s="86"/>
      <c r="AB187" s="86"/>
      <c r="AC187" s="86"/>
      <c r="AD187" s="53" t="str">
        <f>E187</f>
        <v/>
      </c>
      <c r="AE187" s="63" t="str">
        <f>E187</f>
        <v/>
      </c>
      <c r="AF187" s="65"/>
    </row>
    <row r="188" spans="2:32" x14ac:dyDescent="0.25">
      <c r="B188" s="66"/>
      <c r="C188" s="66"/>
      <c r="D188" s="66"/>
      <c r="E188" s="49"/>
      <c r="F188" s="81"/>
      <c r="G188" s="81"/>
      <c r="H188" s="309"/>
      <c r="I188" s="89"/>
      <c r="J188" s="90"/>
      <c r="K188" s="83"/>
      <c r="L188" s="84"/>
      <c r="M188" s="84"/>
      <c r="N188" s="84"/>
      <c r="O188" s="84"/>
      <c r="P188" s="84"/>
      <c r="Q188" s="84"/>
      <c r="R188" s="84"/>
      <c r="S188" s="85"/>
      <c r="T188" s="85"/>
      <c r="U188" s="85"/>
      <c r="V188" s="85"/>
      <c r="W188" s="86"/>
      <c r="X188" s="86"/>
      <c r="Y188" s="86"/>
      <c r="Z188" s="86"/>
      <c r="AA188" s="86"/>
      <c r="AB188" s="86"/>
      <c r="AC188" s="86"/>
      <c r="AD188" s="310"/>
      <c r="AE188" s="311"/>
      <c r="AF188" s="312"/>
    </row>
    <row r="189" spans="2:32" x14ac:dyDescent="0.25">
      <c r="B189" s="66" t="s">
        <v>326</v>
      </c>
      <c r="C189" s="66"/>
      <c r="D189" s="66"/>
      <c r="E189" s="49" t="str">
        <f>IF(I45=0,"",IF(D46="ja",I45,""))</f>
        <v/>
      </c>
      <c r="F189" s="81"/>
      <c r="G189" s="81"/>
      <c r="H189" s="309" t="s">
        <v>522</v>
      </c>
      <c r="I189" s="89"/>
      <c r="J189" s="90"/>
      <c r="K189" s="83"/>
      <c r="L189" s="84"/>
      <c r="M189" s="84"/>
      <c r="N189" s="84"/>
      <c r="O189" s="84"/>
      <c r="P189" s="84"/>
      <c r="Q189" s="84"/>
      <c r="R189" s="84"/>
      <c r="S189" s="85"/>
      <c r="T189" s="85"/>
      <c r="U189" s="85"/>
      <c r="V189" s="85"/>
      <c r="W189" s="86" t="str">
        <f>E189</f>
        <v/>
      </c>
      <c r="X189" s="86"/>
      <c r="Y189" s="86"/>
      <c r="Z189" s="86"/>
      <c r="AA189" s="86" t="str">
        <f>E189</f>
        <v/>
      </c>
      <c r="AB189" s="86"/>
      <c r="AC189" s="86"/>
      <c r="AD189" s="310" t="str">
        <f>E189</f>
        <v/>
      </c>
      <c r="AE189" s="311" t="str">
        <f>E189</f>
        <v/>
      </c>
      <c r="AF189" s="312"/>
    </row>
    <row r="190" spans="2:32" x14ac:dyDescent="0.25">
      <c r="B190" s="66"/>
      <c r="C190" s="66"/>
      <c r="D190" s="66"/>
      <c r="E190" s="49"/>
      <c r="F190" s="81"/>
      <c r="G190" s="81"/>
      <c r="H190" s="91"/>
      <c r="I190" s="89"/>
      <c r="J190" s="90"/>
      <c r="K190" s="83"/>
      <c r="L190" s="84"/>
      <c r="M190" s="84"/>
      <c r="N190" s="84"/>
      <c r="O190" s="84"/>
      <c r="P190" s="84"/>
      <c r="Q190" s="84"/>
      <c r="R190" s="84"/>
      <c r="S190" s="85"/>
      <c r="T190" s="85"/>
      <c r="U190" s="85"/>
      <c r="V190" s="85"/>
      <c r="W190" s="86"/>
      <c r="X190" s="86"/>
      <c r="Y190" s="86"/>
      <c r="Z190" s="86"/>
      <c r="AA190" s="86"/>
      <c r="AB190" s="86"/>
      <c r="AC190" s="86"/>
      <c r="AD190" s="83"/>
      <c r="AE190" s="86"/>
      <c r="AF190" s="94"/>
    </row>
    <row r="191" spans="2:32" x14ac:dyDescent="0.25">
      <c r="B191" s="70" t="s">
        <v>329</v>
      </c>
      <c r="C191" s="70"/>
      <c r="D191" s="66"/>
      <c r="E191" s="49"/>
      <c r="F191" s="81"/>
      <c r="G191" s="81"/>
      <c r="H191" s="91"/>
      <c r="I191" s="89"/>
      <c r="J191" s="90"/>
      <c r="K191" s="83"/>
      <c r="L191" s="84"/>
      <c r="M191" s="84"/>
      <c r="N191" s="84"/>
      <c r="O191" s="84"/>
      <c r="P191" s="84"/>
      <c r="Q191" s="84"/>
      <c r="R191" s="84"/>
      <c r="S191" s="85"/>
      <c r="T191" s="85"/>
      <c r="U191" s="85"/>
      <c r="V191" s="85"/>
      <c r="W191" s="86"/>
      <c r="X191" s="86"/>
      <c r="Y191" s="86"/>
      <c r="Z191" s="86"/>
      <c r="AA191" s="86"/>
      <c r="AB191" s="86"/>
      <c r="AC191" s="86"/>
      <c r="AD191" s="83"/>
      <c r="AE191" s="86"/>
      <c r="AF191" s="94"/>
    </row>
    <row r="192" spans="2:32" x14ac:dyDescent="0.25">
      <c r="B192" s="66" t="s">
        <v>330</v>
      </c>
      <c r="C192" s="66"/>
      <c r="D192" s="66"/>
      <c r="E192" s="49" t="str">
        <f t="shared" ref="E192:E201" si="29">IF(I32=0,"",I32)</f>
        <v/>
      </c>
      <c r="F192" s="81"/>
      <c r="G192" s="81"/>
      <c r="H192" s="91" t="s">
        <v>339</v>
      </c>
      <c r="I192" s="89"/>
      <c r="J192" s="90"/>
      <c r="K192" s="83"/>
      <c r="L192" s="84"/>
      <c r="M192" s="84"/>
      <c r="N192" s="84"/>
      <c r="O192" s="84"/>
      <c r="P192" s="84"/>
      <c r="Q192" s="84"/>
      <c r="R192" s="84" t="str">
        <f>E192</f>
        <v/>
      </c>
      <c r="S192" s="85"/>
      <c r="T192" s="85"/>
      <c r="U192" s="85"/>
      <c r="V192" s="85"/>
      <c r="W192" s="86"/>
      <c r="X192" s="86" t="str">
        <f>E192</f>
        <v/>
      </c>
      <c r="Y192" s="86"/>
      <c r="Z192" s="86"/>
      <c r="AA192" s="86"/>
      <c r="AB192" s="86"/>
      <c r="AC192" s="86"/>
      <c r="AD192" s="83" t="str">
        <f>E192</f>
        <v/>
      </c>
      <c r="AE192" s="86" t="str">
        <f t="shared" ref="AE192:AE201" si="30">E192</f>
        <v/>
      </c>
      <c r="AF192" s="94"/>
    </row>
    <row r="193" spans="2:35" x14ac:dyDescent="0.25">
      <c r="B193" s="66" t="s">
        <v>331</v>
      </c>
      <c r="C193" s="66"/>
      <c r="D193" s="66"/>
      <c r="E193" s="49" t="str">
        <f t="shared" si="29"/>
        <v/>
      </c>
      <c r="F193" s="81"/>
      <c r="G193" s="81"/>
      <c r="H193" s="91" t="s">
        <v>340</v>
      </c>
      <c r="I193" s="89"/>
      <c r="J193" s="90"/>
      <c r="K193" s="83" t="str">
        <f>E193</f>
        <v/>
      </c>
      <c r="L193" s="84"/>
      <c r="M193" s="84"/>
      <c r="N193" s="84"/>
      <c r="O193" s="84"/>
      <c r="P193" s="84"/>
      <c r="Q193" s="84"/>
      <c r="R193" s="84"/>
      <c r="S193" s="85"/>
      <c r="T193" s="85"/>
      <c r="U193" s="85"/>
      <c r="V193" s="85"/>
      <c r="W193" s="86"/>
      <c r="X193" s="86"/>
      <c r="Y193" s="86"/>
      <c r="Z193" s="86"/>
      <c r="AA193" s="86"/>
      <c r="AB193" s="86"/>
      <c r="AC193" s="86"/>
      <c r="AD193" s="83" t="str">
        <f>E193</f>
        <v/>
      </c>
      <c r="AE193" s="86" t="str">
        <f t="shared" si="30"/>
        <v/>
      </c>
      <c r="AF193" s="94"/>
    </row>
    <row r="194" spans="2:35" x14ac:dyDescent="0.25">
      <c r="B194" s="66" t="s">
        <v>332</v>
      </c>
      <c r="C194" s="66"/>
      <c r="D194" s="66"/>
      <c r="E194" s="49" t="str">
        <f t="shared" si="29"/>
        <v/>
      </c>
      <c r="F194" s="81"/>
      <c r="G194" s="81"/>
      <c r="H194" s="91" t="s">
        <v>341</v>
      </c>
      <c r="I194" s="89"/>
      <c r="J194" s="90"/>
      <c r="K194" s="83"/>
      <c r="L194" s="84"/>
      <c r="M194" s="84"/>
      <c r="N194" s="84"/>
      <c r="O194" s="84"/>
      <c r="P194" s="84"/>
      <c r="Q194" s="84"/>
      <c r="R194" s="84" t="str">
        <f>E194</f>
        <v/>
      </c>
      <c r="S194" s="85"/>
      <c r="T194" s="85"/>
      <c r="U194" s="85"/>
      <c r="V194" s="85"/>
      <c r="W194" s="86"/>
      <c r="X194" s="86"/>
      <c r="Y194" s="86"/>
      <c r="Z194" s="86"/>
      <c r="AA194" s="86"/>
      <c r="AB194" s="86"/>
      <c r="AC194" s="86" t="str">
        <f>E194</f>
        <v/>
      </c>
      <c r="AD194" s="83" t="str">
        <f>E194</f>
        <v/>
      </c>
      <c r="AE194" s="86" t="str">
        <f t="shared" si="30"/>
        <v/>
      </c>
      <c r="AF194" s="94"/>
    </row>
    <row r="195" spans="2:35" x14ac:dyDescent="0.25">
      <c r="B195" s="66" t="s">
        <v>333</v>
      </c>
      <c r="C195" s="66"/>
      <c r="D195" s="66"/>
      <c r="E195" s="49" t="str">
        <f t="shared" si="29"/>
        <v/>
      </c>
      <c r="F195" s="81"/>
      <c r="G195" s="81"/>
      <c r="H195" s="91" t="s">
        <v>345</v>
      </c>
      <c r="I195" s="89"/>
      <c r="J195" s="90"/>
      <c r="K195" s="83"/>
      <c r="L195" s="84"/>
      <c r="M195" s="84"/>
      <c r="N195" s="84"/>
      <c r="O195" s="84"/>
      <c r="P195" s="84"/>
      <c r="Q195" s="84"/>
      <c r="R195" s="84" t="str">
        <f>E195</f>
        <v/>
      </c>
      <c r="S195" s="85"/>
      <c r="T195" s="85"/>
      <c r="U195" s="85"/>
      <c r="V195" s="85"/>
      <c r="W195" s="86"/>
      <c r="X195" s="86"/>
      <c r="Y195" s="86"/>
      <c r="Z195" s="86"/>
      <c r="AA195" s="86"/>
      <c r="AB195" s="86"/>
      <c r="AC195" s="86"/>
      <c r="AD195" s="83"/>
      <c r="AE195" s="86" t="str">
        <f t="shared" si="30"/>
        <v/>
      </c>
      <c r="AF195" s="94"/>
    </row>
    <row r="196" spans="2:35" x14ac:dyDescent="0.25">
      <c r="B196" s="66" t="s">
        <v>334</v>
      </c>
      <c r="C196" s="66"/>
      <c r="D196" s="66"/>
      <c r="E196" s="49" t="str">
        <f t="shared" si="29"/>
        <v/>
      </c>
      <c r="F196" s="81"/>
      <c r="G196" s="81"/>
      <c r="H196" s="91" t="s">
        <v>344</v>
      </c>
      <c r="I196" s="89"/>
      <c r="J196" s="90"/>
      <c r="K196" s="83"/>
      <c r="L196" s="84"/>
      <c r="M196" s="84"/>
      <c r="N196" s="84"/>
      <c r="O196" s="84"/>
      <c r="P196" s="84"/>
      <c r="Q196" s="84"/>
      <c r="R196" s="84"/>
      <c r="S196" s="85"/>
      <c r="T196" s="85"/>
      <c r="U196" s="85"/>
      <c r="V196" s="85"/>
      <c r="W196" s="86" t="str">
        <f>E196</f>
        <v/>
      </c>
      <c r="X196" s="86"/>
      <c r="Y196" s="86"/>
      <c r="Z196" s="86"/>
      <c r="AA196" s="86"/>
      <c r="AB196" s="86"/>
      <c r="AC196" s="86"/>
      <c r="AD196" s="83"/>
      <c r="AE196" s="86" t="str">
        <f t="shared" si="30"/>
        <v/>
      </c>
      <c r="AF196" s="94"/>
    </row>
    <row r="197" spans="2:35" x14ac:dyDescent="0.25">
      <c r="B197" s="66" t="s">
        <v>335</v>
      </c>
      <c r="C197" s="66"/>
      <c r="D197" s="66"/>
      <c r="E197" s="49" t="str">
        <f t="shared" si="29"/>
        <v/>
      </c>
      <c r="F197" s="81"/>
      <c r="G197" s="81"/>
      <c r="H197" s="91" t="s">
        <v>397</v>
      </c>
      <c r="I197" s="89"/>
      <c r="J197" s="90"/>
      <c r="K197" s="83"/>
      <c r="L197" s="84"/>
      <c r="M197" s="84"/>
      <c r="N197" s="84"/>
      <c r="O197" s="84"/>
      <c r="P197" s="84"/>
      <c r="Q197" s="84"/>
      <c r="R197" s="84"/>
      <c r="S197" s="85"/>
      <c r="T197" s="85"/>
      <c r="U197" s="85"/>
      <c r="V197" s="85"/>
      <c r="W197" s="86" t="str">
        <f>E197</f>
        <v/>
      </c>
      <c r="X197" s="86"/>
      <c r="Y197" s="86"/>
      <c r="Z197" s="86"/>
      <c r="AA197" s="86"/>
      <c r="AB197" s="86" t="str">
        <f>E197</f>
        <v/>
      </c>
      <c r="AC197" s="86"/>
      <c r="AD197" s="83" t="str">
        <f>E197</f>
        <v/>
      </c>
      <c r="AE197" s="86" t="str">
        <f t="shared" si="30"/>
        <v/>
      </c>
      <c r="AF197" s="94"/>
    </row>
    <row r="198" spans="2:35" x14ac:dyDescent="0.25">
      <c r="B198" s="66" t="s">
        <v>336</v>
      </c>
      <c r="C198" s="66"/>
      <c r="D198" s="66"/>
      <c r="E198" s="49" t="str">
        <f t="shared" si="29"/>
        <v/>
      </c>
      <c r="F198" s="81"/>
      <c r="G198" s="81"/>
      <c r="H198" s="91" t="s">
        <v>344</v>
      </c>
      <c r="I198" s="89"/>
      <c r="J198" s="90"/>
      <c r="K198" s="83"/>
      <c r="L198" s="84"/>
      <c r="M198" s="84"/>
      <c r="N198" s="84"/>
      <c r="O198" s="84"/>
      <c r="P198" s="84"/>
      <c r="Q198" s="84"/>
      <c r="R198" s="84"/>
      <c r="S198" s="85"/>
      <c r="T198" s="85"/>
      <c r="U198" s="85"/>
      <c r="V198" s="85"/>
      <c r="W198" s="86" t="str">
        <f>E198</f>
        <v/>
      </c>
      <c r="X198" s="86"/>
      <c r="Y198" s="86"/>
      <c r="Z198" s="86"/>
      <c r="AA198" s="86"/>
      <c r="AB198" s="86"/>
      <c r="AC198" s="86"/>
      <c r="AD198" s="83"/>
      <c r="AE198" s="86" t="str">
        <f t="shared" si="30"/>
        <v/>
      </c>
      <c r="AF198" s="94"/>
      <c r="AH198" s="1">
        <f>MAX(IF(AE147&gt;0.1,AE147,0),IF(AE148&gt;0.1,AE148,0),IF(AE149&gt;0.1,AE149,0),IF(AE150&gt;0.1,AE150,0),IF(AE151&gt;0.1,AE151,0),IF(AE152&gt;0.1,AE152,0),IF(AE153&gt;0.1,AE153,0),IF(AE155&gt;0.1,AE155,0),IF(AE156&gt;0.1,AE156,0),IF(AE157&gt;0.1,AE157,0),IF(AE158&gt;0.1,AE158,0))</f>
        <v>0</v>
      </c>
      <c r="AI198" s="1">
        <f>SUM(IF(AE147&gt;0.1,AE147,0),IF(AE148&gt;0.1,AE148,0),IF(AE149&gt;0.1,AE149,0),IF(AE150&gt;0.1,AE150,0),IF(AE151&gt;0.1,AE151,0),IF(AE152&gt;0.1,AE152,0),IF(AE153&gt;0.1,AE153,0),IF(AE155&gt;0.1,AE155,0),IF(AE156&gt;0.1,AE156,0),IF(AE157&gt;0.1,AE157,0),IF(AE158&gt;0.1,AE158,0),IF(AE161&gt;0.1,AE161,0),IF(AE162&gt;0.1,AE162,0),IF(AE163&gt;0.1,AE163,0),IF(AE164&gt;0.1,AE164,0),IF(AE165&gt;0.1,AE165,0),IF(AE166&gt;0.1,AE166,0),IF(AE167&gt;0.1,AE167,0),IF(AE168&gt;0.1,AE168,0),IF(AE169&gt;0.1,AE169,0),IF(AE170&gt;0.1,AE170,0),IF(AE172&gt;0.1,AE172,0),IF(AE173&gt;0.1,AE173,0),IF(AE174&gt;0.1,AE174,0),IF(AE175&gt;0.1,AE175,0),IF(AE176&gt;0.1,AE176,0),IF(AE177&gt;0.1,AE177,0),IF(AE178&gt;0.1,AE178,0),IF(AE179&gt;0.1,AE179,0),IF(AE180&gt;0.1,AE180,0),IF(AE181&gt;0.1,AE181,0),IF(AE182&gt;0.1,AE182,0),IF(AE185&gt;0.1,AE185,0),IF(AE186&gt;0.1,AE186,0),IF(AE187&gt;0.1,AE187,0),IF(AE192&gt;0.1,AE192,0),IF(AE193&gt;0.1,AE193,0),IF(AE194&gt;0.1,AE194,0),IF(AE195&gt;0.1,AE195,0),IF(AE196&gt;0.1,AE196,0),IF(AE197&gt;0.1,AE197,0),IF(AE198&gt;0.1,AE198,0),IF(AE199&gt;0.1,AE199,0),IF(AE200&gt;0.1,AE200,0),IF(AE201&gt;0.1,AE201,0))*100</f>
        <v>0</v>
      </c>
    </row>
    <row r="199" spans="2:35" x14ac:dyDescent="0.25">
      <c r="B199" s="66" t="s">
        <v>327</v>
      </c>
      <c r="C199" s="66"/>
      <c r="D199" s="66"/>
      <c r="E199" s="49" t="str">
        <f t="shared" si="29"/>
        <v/>
      </c>
      <c r="F199" s="81"/>
      <c r="G199" s="81"/>
      <c r="H199" s="91" t="s">
        <v>343</v>
      </c>
      <c r="I199" s="89"/>
      <c r="J199" s="90"/>
      <c r="K199" s="83"/>
      <c r="L199" s="84"/>
      <c r="M199" s="84"/>
      <c r="N199" s="84"/>
      <c r="O199" s="84"/>
      <c r="P199" s="84"/>
      <c r="Q199" s="84"/>
      <c r="R199" s="84"/>
      <c r="S199" s="85"/>
      <c r="T199" s="85"/>
      <c r="U199" s="85"/>
      <c r="V199" s="85"/>
      <c r="W199" s="86" t="str">
        <f>E199</f>
        <v/>
      </c>
      <c r="X199" s="86"/>
      <c r="Y199" s="86"/>
      <c r="Z199" s="86" t="str">
        <f>E199</f>
        <v/>
      </c>
      <c r="AA199" s="86" t="str">
        <f>E199</f>
        <v/>
      </c>
      <c r="AB199" s="86"/>
      <c r="AC199" s="86" t="str">
        <f>E199</f>
        <v/>
      </c>
      <c r="AD199" s="83"/>
      <c r="AE199" s="86" t="str">
        <f t="shared" si="30"/>
        <v/>
      </c>
      <c r="AF199" s="94"/>
      <c r="AH199" s="1">
        <f>MAX(IF(AE161&gt;0.1,AE161,0),IF(AE162&gt;0.1,AE162,0),IF(AE163&gt;0.1,AE163,0),IF(AE164&gt;0.1,AE164,0),IF(AE165&gt;0.1,AE165,0),IF(AE166&gt;0.1,AE166,0),IF(AE167&gt;0.1,AE167,0),IF(AE168&gt;0.1,AE168,0),IF(AE169&gt;0.1,AE169,0),IF(AE170&gt;0.1,AE170,0))</f>
        <v>0</v>
      </c>
      <c r="AI199" s="1">
        <f>SUM(IF(AE137&gt;1,AE137,0),IF(AE175&gt;1,AE175,0))*10</f>
        <v>0</v>
      </c>
    </row>
    <row r="200" spans="2:35" x14ac:dyDescent="0.25">
      <c r="B200" s="66" t="s">
        <v>337</v>
      </c>
      <c r="C200" s="66"/>
      <c r="D200" s="66"/>
      <c r="E200" s="49" t="str">
        <f t="shared" si="29"/>
        <v/>
      </c>
      <c r="F200" s="81"/>
      <c r="G200" s="81"/>
      <c r="H200" s="91" t="s">
        <v>342</v>
      </c>
      <c r="I200" s="89"/>
      <c r="J200" s="90"/>
      <c r="K200" s="83"/>
      <c r="L200" s="84"/>
      <c r="M200" s="84"/>
      <c r="N200" s="84"/>
      <c r="O200" s="84"/>
      <c r="P200" s="84"/>
      <c r="Q200" s="84"/>
      <c r="R200" s="84"/>
      <c r="S200" s="85"/>
      <c r="T200" s="85"/>
      <c r="U200" s="85"/>
      <c r="V200" s="85"/>
      <c r="W200" s="86"/>
      <c r="X200" s="86"/>
      <c r="Y200" s="86"/>
      <c r="Z200" s="86"/>
      <c r="AA200" s="86"/>
      <c r="AB200" s="86"/>
      <c r="AC200" s="86"/>
      <c r="AD200" s="83"/>
      <c r="AE200" s="83" t="str">
        <f t="shared" si="30"/>
        <v/>
      </c>
      <c r="AF200" s="94"/>
      <c r="AH200" s="1">
        <f>MAX(IF(AE172&gt;0.1,AE172,0),IF(AE173&gt;0.1,AE173,0),IF(AE174&gt;0.1,AE174,0),IF(AE175&gt;0.1,AE175,0),IF(AE176&gt;0.1,AE176,0),IF(AE177&gt;0.1,AE177,0),IF(AE178&gt;0.1,AE178,0),IF(AE179&gt;0.1,AE179,0),IF(AE180&gt;0.1,AE180,0),IF(AE181&gt;0.1,AE181,0),IF(AE182&gt;0.1,AE182,0),IF(AE185&gt;0.1,AE185,0),IF(AE186&gt;0.1,AE186,0),IF(AE187&gt;0.1,AE187,0),IF(AE192&gt;0.1,AE192,0),IF(AE193&gt;0.1,AE193,0),IF(AE194&gt;0.1,AE194,0),IF(AE195&gt;0.1,AE195,0),IF(AE196&gt;0.1,AE196,0),IF(AE197&gt;0.1,AE197,0),IF(AE198&gt;0.1,AE198,0),IF(AE199&gt;0.1,AE199,0),IF(AE200&gt;0.1,AE200,0),IF(AE201&gt;0.1,AE201,0))*100</f>
        <v>0</v>
      </c>
      <c r="AI200" s="1">
        <f>SUM(IF(AE183&gt;1,AE183,0))*1</f>
        <v>0</v>
      </c>
    </row>
    <row r="201" spans="2:35" x14ac:dyDescent="0.25">
      <c r="B201" s="66" t="s">
        <v>338</v>
      </c>
      <c r="C201" s="66"/>
      <c r="D201" s="66"/>
      <c r="E201" s="49" t="str">
        <f t="shared" si="29"/>
        <v/>
      </c>
      <c r="F201" s="81"/>
      <c r="G201" s="81"/>
      <c r="H201" s="91" t="s">
        <v>23</v>
      </c>
      <c r="I201" s="89"/>
      <c r="J201" s="90"/>
      <c r="K201" s="83"/>
      <c r="L201" s="84"/>
      <c r="M201" s="84"/>
      <c r="N201" s="84"/>
      <c r="O201" s="84"/>
      <c r="P201" s="84"/>
      <c r="Q201" s="84"/>
      <c r="R201" s="84"/>
      <c r="S201" s="84"/>
      <c r="T201" s="84"/>
      <c r="U201" s="84"/>
      <c r="V201" s="84"/>
      <c r="W201" s="83"/>
      <c r="X201" s="83" t="str">
        <f>E201</f>
        <v/>
      </c>
      <c r="Y201" s="83"/>
      <c r="Z201" s="83"/>
      <c r="AA201" s="83"/>
      <c r="AB201" s="83"/>
      <c r="AC201" s="83"/>
      <c r="AD201" s="83"/>
      <c r="AE201" s="83" t="str">
        <f t="shared" si="30"/>
        <v/>
      </c>
      <c r="AF201" s="94"/>
      <c r="AH201" s="1">
        <f>SUM(IF(AE137&gt;1,AE137,0),IF(AE175&gt;1,AE175,0))*10</f>
        <v>0</v>
      </c>
      <c r="AI201" s="95"/>
    </row>
    <row r="202" spans="2:35" x14ac:dyDescent="0.25">
      <c r="B202" s="66"/>
      <c r="C202" s="66"/>
      <c r="D202" s="66"/>
      <c r="E202" s="49"/>
      <c r="F202" s="81"/>
      <c r="G202" s="81"/>
      <c r="H202" s="91"/>
      <c r="I202" s="89"/>
      <c r="J202" s="90"/>
      <c r="K202" s="83"/>
      <c r="L202" s="84"/>
      <c r="M202" s="84"/>
      <c r="N202" s="84"/>
      <c r="O202" s="84"/>
      <c r="P202" s="84"/>
      <c r="Q202" s="84"/>
      <c r="R202" s="84"/>
      <c r="S202" s="84"/>
      <c r="T202" s="84"/>
      <c r="U202" s="84"/>
      <c r="V202" s="84"/>
      <c r="W202" s="83"/>
      <c r="X202" s="83"/>
      <c r="Y202" s="83"/>
      <c r="Z202" s="83"/>
      <c r="AA202" s="83"/>
      <c r="AB202" s="83"/>
      <c r="AC202" s="83"/>
      <c r="AD202" s="83"/>
      <c r="AE202" s="83"/>
      <c r="AF202" s="94"/>
      <c r="AH202" s="1" t="str">
        <f>IF(AE183&gt;1,AE183,0)</f>
        <v/>
      </c>
    </row>
    <row r="203" spans="2:35" x14ac:dyDescent="0.25">
      <c r="B203" s="66" t="s">
        <v>409</v>
      </c>
      <c r="C203" s="66"/>
      <c r="D203" s="66"/>
      <c r="E203" s="49" t="str">
        <f>IF(I51=0,"",I51)</f>
        <v/>
      </c>
      <c r="F203" s="81"/>
      <c r="G203" s="81"/>
      <c r="H203" s="91" t="s">
        <v>410</v>
      </c>
      <c r="I203" s="89"/>
      <c r="J203" s="90"/>
      <c r="K203" s="83"/>
      <c r="L203" s="84"/>
      <c r="M203" s="84"/>
      <c r="N203" s="84"/>
      <c r="O203" s="84" t="str">
        <f>E203</f>
        <v/>
      </c>
      <c r="P203" s="84"/>
      <c r="Q203" s="84"/>
      <c r="R203" s="84"/>
      <c r="S203" s="84"/>
      <c r="T203" s="84"/>
      <c r="U203" s="84"/>
      <c r="V203" s="84"/>
      <c r="W203" s="83"/>
      <c r="X203" s="83"/>
      <c r="Y203" s="83"/>
      <c r="Z203" s="83"/>
      <c r="AA203" s="83"/>
      <c r="AB203" s="83"/>
      <c r="AC203" s="83"/>
      <c r="AD203" s="83"/>
      <c r="AE203" s="83" t="str">
        <f>E203</f>
        <v/>
      </c>
      <c r="AF203" s="94"/>
    </row>
    <row r="204" spans="2:35" x14ac:dyDescent="0.25">
      <c r="B204" s="66" t="s">
        <v>412</v>
      </c>
      <c r="C204" s="66"/>
      <c r="D204" s="66"/>
      <c r="E204" s="49" t="str">
        <f>IF(I52=0,"",I52)</f>
        <v/>
      </c>
      <c r="F204" s="81"/>
      <c r="G204" s="81"/>
      <c r="H204" s="91" t="s">
        <v>413</v>
      </c>
      <c r="I204" s="89"/>
      <c r="J204" s="90"/>
      <c r="K204" s="83"/>
      <c r="L204" s="84"/>
      <c r="M204" s="84"/>
      <c r="N204" s="84"/>
      <c r="O204" s="84" t="str">
        <f>E204</f>
        <v/>
      </c>
      <c r="P204" s="84"/>
      <c r="Q204" s="84"/>
      <c r="R204" s="84"/>
      <c r="S204" s="84"/>
      <c r="T204" s="84"/>
      <c r="U204" s="84"/>
      <c r="V204" s="84"/>
      <c r="W204" s="83"/>
      <c r="X204" s="83"/>
      <c r="Y204" s="83"/>
      <c r="Z204" s="83"/>
      <c r="AA204" s="83"/>
      <c r="AB204" s="83"/>
      <c r="AC204" s="83"/>
      <c r="AD204" s="83"/>
      <c r="AE204" s="83"/>
      <c r="AF204" s="94"/>
    </row>
    <row r="205" spans="2:35" hidden="1" x14ac:dyDescent="0.25">
      <c r="B205" s="66" t="s">
        <v>297</v>
      </c>
      <c r="C205" s="66"/>
      <c r="D205" s="66"/>
      <c r="E205" s="49" t="str">
        <f>IF(I53=0,"",I53)</f>
        <v/>
      </c>
      <c r="F205" s="81"/>
      <c r="G205" s="81"/>
      <c r="H205" s="91" t="s">
        <v>414</v>
      </c>
      <c r="I205" s="89"/>
      <c r="J205" s="90"/>
      <c r="K205" s="83"/>
      <c r="L205" s="84"/>
      <c r="M205" s="84"/>
      <c r="N205" s="84"/>
      <c r="O205" s="84" t="str">
        <f>E205</f>
        <v/>
      </c>
      <c r="P205" s="84"/>
      <c r="Q205" s="84"/>
      <c r="R205" s="84"/>
      <c r="S205" s="84"/>
      <c r="T205" s="84"/>
      <c r="U205" s="84"/>
      <c r="V205" s="84"/>
      <c r="W205" s="83"/>
      <c r="X205" s="83"/>
      <c r="Y205" s="83"/>
      <c r="Z205" s="83"/>
      <c r="AA205" s="83"/>
      <c r="AB205" s="83"/>
      <c r="AC205" s="83"/>
      <c r="AD205" s="83"/>
      <c r="AE205" s="83" t="str">
        <f>E205</f>
        <v/>
      </c>
      <c r="AF205" s="94"/>
    </row>
    <row r="206" spans="2:35" hidden="1" x14ac:dyDescent="0.25">
      <c r="B206" s="66" t="s">
        <v>415</v>
      </c>
      <c r="C206" s="66"/>
      <c r="D206" s="66"/>
      <c r="E206" s="49"/>
      <c r="F206" s="81"/>
      <c r="G206" s="81"/>
      <c r="H206" s="91" t="s">
        <v>361</v>
      </c>
      <c r="I206" s="89"/>
      <c r="J206" s="90"/>
      <c r="K206" s="83"/>
      <c r="L206" s="84"/>
      <c r="M206" s="84"/>
      <c r="N206" s="84"/>
      <c r="O206" s="84"/>
      <c r="P206" s="84"/>
      <c r="Q206" s="84"/>
      <c r="R206" s="84"/>
      <c r="S206" s="84"/>
      <c r="T206" s="84"/>
      <c r="U206" s="84"/>
      <c r="V206" s="84"/>
      <c r="W206" s="83"/>
      <c r="X206" s="83"/>
      <c r="Y206" s="83"/>
      <c r="Z206" s="83"/>
      <c r="AA206" s="83"/>
      <c r="AB206" s="83"/>
      <c r="AC206" s="83"/>
      <c r="AD206" s="83"/>
      <c r="AE206" s="83"/>
      <c r="AF206" s="94"/>
    </row>
    <row r="207" spans="2:35" x14ac:dyDescent="0.25">
      <c r="B207" s="66" t="s">
        <v>416</v>
      </c>
      <c r="C207" s="66"/>
      <c r="D207" s="66"/>
      <c r="E207" s="49" t="str">
        <f>IF(I54=0,"",I54)</f>
        <v/>
      </c>
      <c r="F207" s="81"/>
      <c r="G207" s="81"/>
      <c r="H207" s="91" t="s">
        <v>342</v>
      </c>
      <c r="I207" s="89"/>
      <c r="J207" s="90"/>
      <c r="K207" s="83"/>
      <c r="L207" s="84"/>
      <c r="M207" s="84"/>
      <c r="N207" s="84"/>
      <c r="O207" s="84"/>
      <c r="P207" s="84"/>
      <c r="Q207" s="84"/>
      <c r="R207" s="84"/>
      <c r="S207" s="84"/>
      <c r="T207" s="84"/>
      <c r="U207" s="84"/>
      <c r="V207" s="84"/>
      <c r="W207" s="83"/>
      <c r="X207" s="83"/>
      <c r="Y207" s="83"/>
      <c r="Z207" s="83"/>
      <c r="AA207" s="83"/>
      <c r="AB207" s="83"/>
      <c r="AC207" s="83"/>
      <c r="AD207" s="83"/>
      <c r="AE207" s="83" t="str">
        <f>E207</f>
        <v/>
      </c>
      <c r="AF207" s="94"/>
    </row>
    <row r="208" spans="2:35" x14ac:dyDescent="0.25">
      <c r="B208" s="66" t="s">
        <v>421</v>
      </c>
      <c r="C208" s="66"/>
      <c r="D208" s="66"/>
      <c r="E208" s="49" t="str">
        <f>IF(I55=0,"",I55)</f>
        <v/>
      </c>
      <c r="F208" s="81"/>
      <c r="G208" s="81"/>
      <c r="H208" s="91" t="s">
        <v>342</v>
      </c>
      <c r="I208" s="89"/>
      <c r="J208" s="90"/>
      <c r="K208" s="83"/>
      <c r="L208" s="84"/>
      <c r="M208" s="84"/>
      <c r="N208" s="84"/>
      <c r="O208" s="84"/>
      <c r="P208" s="84"/>
      <c r="Q208" s="84"/>
      <c r="R208" s="84"/>
      <c r="S208" s="84"/>
      <c r="T208" s="84"/>
      <c r="U208" s="84"/>
      <c r="V208" s="84"/>
      <c r="W208" s="83"/>
      <c r="X208" s="83"/>
      <c r="Y208" s="83"/>
      <c r="Z208" s="83"/>
      <c r="AA208" s="83"/>
      <c r="AB208" s="83"/>
      <c r="AC208" s="83"/>
      <c r="AD208" s="83"/>
      <c r="AE208" s="83" t="str">
        <f>E208</f>
        <v/>
      </c>
      <c r="AF208" s="94"/>
    </row>
    <row r="209" spans="2:32" x14ac:dyDescent="0.25">
      <c r="B209" s="66" t="s">
        <v>420</v>
      </c>
      <c r="C209" s="66"/>
      <c r="D209" s="66"/>
      <c r="E209" s="49" t="str">
        <f>IF(I56=0,"",I56)</f>
        <v/>
      </c>
      <c r="F209" s="81"/>
      <c r="G209" s="81"/>
      <c r="H209" s="91" t="s">
        <v>342</v>
      </c>
      <c r="I209" s="89"/>
      <c r="J209" s="90"/>
      <c r="K209" s="83"/>
      <c r="L209" s="84"/>
      <c r="M209" s="84"/>
      <c r="N209" s="84"/>
      <c r="O209" s="84"/>
      <c r="P209" s="84"/>
      <c r="Q209" s="84"/>
      <c r="R209" s="84"/>
      <c r="S209" s="84"/>
      <c r="T209" s="84"/>
      <c r="U209" s="84"/>
      <c r="V209" s="84"/>
      <c r="W209" s="83"/>
      <c r="X209" s="83"/>
      <c r="Y209" s="83"/>
      <c r="Z209" s="83"/>
      <c r="AA209" s="83"/>
      <c r="AB209" s="83"/>
      <c r="AC209" s="83"/>
      <c r="AD209" s="83"/>
      <c r="AE209" s="83" t="str">
        <f>E209</f>
        <v/>
      </c>
      <c r="AF209" s="94"/>
    </row>
    <row r="210" spans="2:32" ht="23.4" x14ac:dyDescent="0.25">
      <c r="B210" s="66" t="s">
        <v>358</v>
      </c>
      <c r="C210" s="66"/>
      <c r="D210" s="66"/>
      <c r="E210" s="49" t="str">
        <f>IF(I57=0,"",I57)</f>
        <v/>
      </c>
      <c r="F210" s="81"/>
      <c r="G210" s="81"/>
      <c r="H210" s="67" t="s">
        <v>359</v>
      </c>
      <c r="I210" s="89"/>
      <c r="J210" s="90"/>
      <c r="K210" s="83" t="str">
        <f>E210</f>
        <v/>
      </c>
      <c r="L210" s="84"/>
      <c r="M210" s="84" t="str">
        <f>E210</f>
        <v/>
      </c>
      <c r="N210" s="84"/>
      <c r="O210" s="84"/>
      <c r="P210" s="84"/>
      <c r="Q210" s="84" t="str">
        <f>E210</f>
        <v/>
      </c>
      <c r="R210" s="84"/>
      <c r="S210" s="84" t="str">
        <f>E210</f>
        <v/>
      </c>
      <c r="T210" s="84"/>
      <c r="U210" s="84"/>
      <c r="V210" s="84"/>
      <c r="W210" s="83"/>
      <c r="X210" s="83"/>
      <c r="Y210" s="83"/>
      <c r="Z210" s="83" t="str">
        <f>E210</f>
        <v/>
      </c>
      <c r="AA210" s="83"/>
      <c r="AB210" s="83"/>
      <c r="AC210" s="83"/>
      <c r="AD210" s="83" t="str">
        <f>E210</f>
        <v/>
      </c>
      <c r="AE210" s="83" t="str">
        <f>E210</f>
        <v/>
      </c>
      <c r="AF210" s="94"/>
    </row>
    <row r="211" spans="2:32" ht="13.8" thickBot="1" x14ac:dyDescent="0.3">
      <c r="B211" s="96"/>
      <c r="C211" s="154"/>
      <c r="D211" s="49"/>
      <c r="E211" s="49"/>
      <c r="F211" s="97"/>
      <c r="G211" s="97"/>
      <c r="H211" s="91"/>
      <c r="I211" s="98"/>
      <c r="J211" s="99"/>
      <c r="K211" s="100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1"/>
      <c r="W211" s="100"/>
      <c r="X211" s="100"/>
      <c r="Y211" s="100"/>
      <c r="Z211" s="100"/>
      <c r="AA211" s="100"/>
      <c r="AB211" s="100"/>
      <c r="AC211" s="100"/>
      <c r="AD211" s="100"/>
      <c r="AE211" s="100"/>
      <c r="AF211" s="102"/>
    </row>
    <row r="212" spans="2:32" ht="24.6" thickBot="1" x14ac:dyDescent="0.3">
      <c r="B212" s="103" t="s">
        <v>0</v>
      </c>
      <c r="C212" s="155"/>
      <c r="D212" s="104"/>
      <c r="E212" s="104">
        <f>SUM(E137:E211)</f>
        <v>0</v>
      </c>
      <c r="F212" s="105"/>
      <c r="G212" s="105"/>
      <c r="H212" s="106"/>
      <c r="I212" s="107" t="s">
        <v>30</v>
      </c>
      <c r="J212" s="108">
        <f>SUM(IF(J155&gt;1,J155,0),IF(J183&gt;1,J183,0),IF(J154&gt;1,J154,0),IF(J147&gt;1,J147,0))</f>
        <v>0</v>
      </c>
      <c r="K212" s="108">
        <f>SUM(IF(K140&gt;1,K140,0),IF(K193&gt;1,K193,0),IF(K173&gt;1,K173,0),IF(K149&gt;1,K149,0),IF(K148&gt;1,K148,0),IF(K178&gt;1,K178,0))</f>
        <v>0</v>
      </c>
      <c r="L212" s="109">
        <f>MAX(L137:L211)</f>
        <v>0</v>
      </c>
      <c r="M212" s="109">
        <f>MAX(M137:M211)</f>
        <v>0</v>
      </c>
      <c r="N212" s="109">
        <f>MAX(N137:N211)</f>
        <v>0</v>
      </c>
      <c r="O212" s="109">
        <f>SUM(IF(O150&gt;0.1,O150,0),IF(O203&gt;0.1,O203,0),IF(O204&gt;0.1,O204,0),IF(O205&gt;0.1,O205,0))</f>
        <v>0</v>
      </c>
      <c r="P212" s="109">
        <f>SUM(IF(P172&gt;0.1,P172,0),IF(P150&gt;0.1,P150,0))</f>
        <v>0</v>
      </c>
      <c r="Q212" s="109">
        <f>SUM(IF(Q172&gt;0.1,Q172,0),IF(Q173&gt;0.1,Q173,0),IF(Q144&gt;0.1,Q144,0),IF(Q174&gt;0.1,Q174,0),IF(Q175&gt;0.1,Q175,0),IF(Q176&gt;0.1,Q176,0),IF(Q185&gt;0.1,Q185,0))</f>
        <v>0</v>
      </c>
      <c r="R212" s="109">
        <f>SUM(IF(R137&gt;1,R137,0),IF(R138&gt;1,R138,0),IF(R147&gt;1,R147,0),IF(R141&gt;1,R141,0),IF(R142&gt;1,R142,0),IF(R143&gt;1,R143,0),IF(R139&gt;1,R139,0),IF(R161&gt;1,R161,0),IF(R162&gt;1,R162,0),IF(R154&gt;1,R154,0),IF(R156&gt;1,R156,0),IF(R167&gt;1,R167,0),IF(R170&gt;1,R170,0),IF(R180&gt;1,R180,0),IF(R181&gt;1,R181,0),IF(R179&gt;1,R179,0),IF(R155&gt;1,R155,0),IF(R152&gt;1,R152,0),IF(R151&gt;1,R151,0),IF(R149&gt;1,R149,0),IF(R192&gt;1,R192,0),IF(R194&gt;1,R194,0),IF(R195&gt;1,R195,0))</f>
        <v>0</v>
      </c>
      <c r="S212" s="109">
        <f>SUM(IF(S173&gt;1,S173,0),IF(S174&gt;1,S174,0),IF(S175&gt;1,S175,0),IF(S176&gt;1,S176,0),IF(S185&gt;1,S185,0))</f>
        <v>0</v>
      </c>
      <c r="T212" s="109">
        <f>SUM(IF(T147&gt;0.1,T147,0),IF(T172&gt;0.1,T172,0),IF(T173&gt;0.1,T173,0),IF(T174&gt;0.1,T174,0),IF(T175&gt;0.1,T175,0),IF(T176&gt;0.1,T176,0),IF(T185&gt;0.1,T185,0))</f>
        <v>0</v>
      </c>
      <c r="U212" s="109">
        <f>SUM(IF(U161&gt;0.1,U161,0),IF(U169&gt;0.1,U169,0))</f>
        <v>0</v>
      </c>
      <c r="V212" s="109">
        <f>SUM(IF(V137&gt;1,V137,0),IF(V139&gt;1,V139,0),IF(V141&gt;1,V141,0),IF(V142&gt;1,V142,0),IF(V143&gt;1,V143,0),IF(V144&gt;1,V144,0),IF(V162&gt;1,V162,0),IF(V161&gt;1,V161,0),IF(V170&gt;1,V170,0),IF(V167&gt;1,V167,0))</f>
        <v>0</v>
      </c>
      <c r="W212" s="110">
        <f>MAX(W135:W211)</f>
        <v>0</v>
      </c>
      <c r="X212" s="110">
        <f>MAX(X135:X211)</f>
        <v>0</v>
      </c>
      <c r="Y212" s="108">
        <f>SUM(IF(Y152&gt;1,Y152,0),IF(Y172&gt;1,Y172,0),IF(Y153&gt;1,Y153,0),IF(Y173&gt;1,Y173,0),IF(Y174&gt;1,Y174,0),IF(Y175&gt;1,Y175,0),IF(Y176&gt;1,Y176,0),IF(Y177&gt;1,Y177,0),IF(Y182&gt;1,Y182,0),IF(Y185&gt;1,Y185,0))</f>
        <v>0</v>
      </c>
      <c r="Z212" s="110">
        <f>MAX(Z137:Z211)</f>
        <v>0</v>
      </c>
      <c r="AA212" s="110">
        <f>MAX(AA135:AA211)</f>
        <v>0</v>
      </c>
      <c r="AB212" s="110">
        <f>MAX(AB135:AB211)</f>
        <v>0</v>
      </c>
      <c r="AC212" s="110">
        <f>MAX(AC135:AC211)</f>
        <v>0</v>
      </c>
      <c r="AD212" s="108">
        <f>SUM(MAX(IF(AD139&gt;0.1,AD139,0),IF(AD140&gt;0.1,AD140,0)),MAX(IF(AD148&gt;0.1,AD148,0),IF(AD149&gt;0.1,AD149,0),IF(AD150&gt;0.1,AD150,0),IF(AD151&gt;0.1,AD151,0),IF(AD152&gt;0.1,AD152,0),IF(AD153&gt;0.1,AD153,0),IF(AD154&gt;0.1,AD154,0),IF(AD155&gt;0.1,AD155,0),IF(AD156&gt;0.1,AD156,0),IF(AD157&gt;0.1,AD157,0),IF(AD158&gt;0.1,AD158,0)),MAX(IF(AD161&gt;0.1,AD161,0),IF(AD162&gt;0.1,AD162,0),IF(AD163&gt;0.1,AD163,0),IF(AD164&gt;0.1,AD164,0),IF(AD165&gt;0.1,AD165,0),IF(AD166&gt;0.1,AD166,0),IF(AD167&gt;0.1,AD167,0),IF(AD168&gt;0.1,AD168,0),IF(AD169&gt;0.1,AD169,0),IF(AD170&gt;0.1,AD170,0)),MAX(IF(AD172&gt;0.1,AD172,0),IF(AD173&gt;0.1,AD173,0),IF(AD174&gt;0.1,AD174,0),IF(AD175&gt;0.1,AD175,0),IF(AD176&gt;0.1,AD176,0),IF(AD177&gt;0.1,AD177,0),IF(AD178&gt;0.1,AD178,0),IF(AD179&gt;0.1,AD179,0),IF(AD180&gt;0.1,AD180,0),IF(AD181&gt;0.1,AD181,0),IF(AD182&gt;0.1,AD182,0),IF(AD185&gt;0.1,AD185,0),IF(AD186&gt;0.1,AD186,0),IF(AD187&gt;0.1,AD187,0),IF(AD189&gt;0.1,AD189,0)),IF(AD192&gt;0.1,AD192,0),IF(AD193&gt;0.1,AD193,0),IF(AD194&gt;0.1,AD194,0),IF(AD197&gt;0.1,AD197,0))</f>
        <v>0</v>
      </c>
      <c r="AE212" s="111">
        <f>SUM(IF(AE147&gt;0.1,AE147,0),IF(AE148&gt;0.1,AE148,0),IF(AE149&gt;0.1,AE149,0),IF(AE150&gt;0.1,AE150,0),IF(AE151&gt;0.1,AE151,0),IF(AE152&gt;0.1,AE152,0),IF(AE153&gt;0.1,AE153,0),IF(AE155&gt;0.1,AE155,0),IF(AE156&gt;0.1,AE156,0),IF(AE157&gt;0.1,AE157,0),IF(AE158&gt;0.1,AE158,0),IF(AE161&gt;0.1,AE161,0),IF(AE162&gt;0.1,AE162,0),IF(AE163&gt;0.1,AE163,0),IF(AE164&gt;0.1,AE164,0),IF(AE165&gt;0.1,AE165,0),IF(AE166&gt;0.1,AE166,0),IF(AE167&gt;0.1,AE167,0),IF(AE168&gt;0.1,AE168,0),IF(AE169&gt;0.1,AE169,0),IF(AE170&gt;0.1,AE170,0),IF(AE172&gt;0.1,AE172,0),IF(AE173&gt;0.1,AE173,0),IF(AE174&gt;0.1,AE174,0),IF(AE175&gt;0.1,AE175,0),IF(AE176&gt;0.1,AE176,0),IF(AE177&gt;0.1,AE177,0),IF(AE178&gt;0.1,AE178,0),IF(AE179&gt;0.1,AE179,0),IF(AE180&gt;0.1,AE180,0),IF(AE181&gt;0.1,AE181,0),IF(AE182&gt;0.1,AE182,0),IF(AE185&gt;0.1,AE185,0),IF(AE186&gt;0.1,AE186,0),IF(AE187&gt;0.1,AE187,0),IF(AE189&gt;0.1,AE189,0),IF(AE192&gt;0.1,AE192,0),IF(AE193&gt;0.1,AE193,0),IF(AE194&gt;0.1,AE194,0),IF(AE195&gt;0.1,AE195,0),IF(AE196&gt;0.1,AE196,0),IF(AE197&gt;0.1,AE197,0),IF(AE198&gt;0.1,AE198,0),IF(AE199&gt;0.1,AE199,0),IF(AE200&gt;0.1,AE200,0),IF(AE201&gt;0.1,AE201,0),IF(AE203&gt;0.1,AE203,0),IF(AE205&gt;0.1,AE205,0),IF(AE207&gt;0.1,AE207,0),IF(AE208&gt;0.1,AE208,0),IF(AE209&gt;0.1,AE209,0))*100+SUM(IF(AE137&gt;1,AE137,0),IF(AE175&gt;1,AE175,0))*10+SUM(IF(AE183&gt;1,AE183,0))*1</f>
        <v>0</v>
      </c>
      <c r="AF212" s="111">
        <f>SUM(IF(AE147&gt;0.1,AE147,0),IF(AE148&gt;0.1,AE148,0),IF(AE149&gt;0.1,AE149,0),IF(AE150&gt;0.1,AE150,0),IF(AE151&gt;0.1,AE151,0),IF(AE152&gt;0.1,AE152,0),IF(AE153&gt;0.1,AE153,0),IF(AE155&gt;0.1,AE155,0),IF(AE156&gt;0.1,AE156,0),IF(AE157&gt;0.1,AE157,0),IF(AE158&gt;0.1,AE158,0),IF(AE161&gt;0.1,AE161,0),IF(AE162&gt;0.1,AE162,0),IF(AE163&gt;0.1,AE163,0),IF(AE164&gt;0.1,AE164,0),IF(AE165&gt;0.1,AE165,0),IF(AE166&gt;0.1,AE166,0),IF(AE167&gt;0.1,AE167,0),IF(AE168&gt;0.1,AE168,0),IF(AE169&gt;0.1,AE169,0),IF(AE170&gt;0.1,AE170,0),IF(AE172&gt;0.1,AE172,0),IF(AE173&gt;0.1,AE173,0),IF(AE174&gt;0.1,AE174,0),IF(AE175&gt;0.1,AE175,0),IF(AE176&gt;0.1,AE176,0),IF(AE177&gt;0.1,AE177,0),IF(AE178&gt;0.1,AE178,0),IF(AE179&gt;0.1,AE179,0),IF(AE180&gt;0.1,AE180,0),IF(AE181&gt;0.1,AE181,0),IF(AE182&gt;0.1,AE182,0),IF(AE185&gt;0.1,AE185,0),IF(AE186&gt;0.1,AE186,0),IF(AE187&gt;0.1,AE187,0),IF(AE192&gt;0.1,AE192,0),IF(AE193&gt;0.1,AE193,0),IF(AE194&gt;0.1,AE194,0),IF(AE195&gt;0.1,AE195,0),IF(AE196&gt;0.1,AE196,0),IF(AE197&gt;0.1,AE197,0),IF(AE198&gt;0.1,AE198,0),IF(AE199&gt;0.1,AE199,0),IF(AE200&gt;0.1,AE200,0),IF(AE201&gt;0.1,AE201,0),IF(AE203&gt;0.1,AE203,0),IF(AE205&gt;0.1,AE205,0),IF(AE207&gt;0.1,AE207,0),IF(AE208&gt;0.1,AE208,0),IF(AE209&gt;0.1,AE209,0),IF(AE137&gt;1,AE137,0),IF(AE175&gt;1,AE175,0),IF(AE183&gt;1,AE183,0),IF(AF184&gt;1,AF184,0))</f>
        <v>0</v>
      </c>
    </row>
    <row r="213" spans="2:32" ht="21.6" thickBot="1" x14ac:dyDescent="0.3">
      <c r="B213" s="345"/>
      <c r="C213" s="346"/>
      <c r="D213" s="346"/>
      <c r="E213" s="346"/>
      <c r="F213" s="347"/>
      <c r="G213" s="316"/>
      <c r="H213" s="112" t="s">
        <v>45</v>
      </c>
      <c r="I213" s="139"/>
      <c r="J213" s="113" t="s">
        <v>54</v>
      </c>
      <c r="K213" s="114" t="s">
        <v>7</v>
      </c>
      <c r="L213" s="114" t="s">
        <v>29</v>
      </c>
      <c r="M213" s="114" t="s">
        <v>4</v>
      </c>
      <c r="N213" s="115" t="s">
        <v>28</v>
      </c>
      <c r="O213" s="115" t="s">
        <v>47</v>
      </c>
      <c r="P213" s="113" t="s">
        <v>248</v>
      </c>
      <c r="Q213" s="115" t="s">
        <v>6</v>
      </c>
      <c r="R213" s="115" t="s">
        <v>5</v>
      </c>
      <c r="S213" s="115" t="s">
        <v>56</v>
      </c>
      <c r="T213" s="115" t="s">
        <v>46</v>
      </c>
      <c r="U213" s="115" t="s">
        <v>37</v>
      </c>
      <c r="V213" s="115" t="s">
        <v>35</v>
      </c>
      <c r="W213" s="116" t="s">
        <v>27</v>
      </c>
      <c r="X213" s="116" t="s">
        <v>4</v>
      </c>
      <c r="Y213" s="113" t="s">
        <v>6</v>
      </c>
      <c r="Z213" s="114" t="s">
        <v>26</v>
      </c>
      <c r="AA213" s="116" t="s">
        <v>27</v>
      </c>
      <c r="AB213" s="116" t="s">
        <v>27</v>
      </c>
      <c r="AC213" s="114" t="s">
        <v>28</v>
      </c>
      <c r="AD213" s="115" t="s">
        <v>5</v>
      </c>
      <c r="AE213" s="115" t="s">
        <v>5</v>
      </c>
      <c r="AF213" s="115" t="s">
        <v>5</v>
      </c>
    </row>
    <row r="214" spans="2:32" ht="13.8" thickBot="1" x14ac:dyDescent="0.3">
      <c r="B214" s="117"/>
      <c r="C214" s="129"/>
      <c r="D214" s="118"/>
      <c r="E214" s="118"/>
      <c r="F214" s="118"/>
      <c r="G214" s="118"/>
      <c r="H214" s="119" t="s">
        <v>40</v>
      </c>
      <c r="I214" s="140"/>
      <c r="J214" s="120" t="str">
        <f>IF(J212&gt;=10,"Dangerous","OK")</f>
        <v>OK</v>
      </c>
      <c r="K214" s="120" t="str">
        <f>IF(K212&gt;=20,"Dangerous","OK")</f>
        <v>OK</v>
      </c>
      <c r="L214" s="120" t="str">
        <f>IF(L212&gt;=20,"Dangerous","OK")</f>
        <v>OK</v>
      </c>
      <c r="M214" s="120" t="str">
        <f>IF(M212&gt;=1,"Dangerous","OK")</f>
        <v>OK</v>
      </c>
      <c r="N214" s="120" t="str">
        <f>IF(N212&gt;=10,"Dangerous","OK")</f>
        <v>OK</v>
      </c>
      <c r="O214" s="121" t="str">
        <f>IF(O212&gt;=0.25,"Dangerous","OK")</f>
        <v>OK</v>
      </c>
      <c r="P214" s="120" t="str">
        <f>IF(P212&gt;=15,"Dangerous","OK")</f>
        <v>OK</v>
      </c>
      <c r="Q214" s="121" t="str">
        <f>IF(Q212&gt;=5,"Dangerous","OK")</f>
        <v>OK</v>
      </c>
      <c r="R214" s="121" t="str">
        <f>IF(OR(R212&gt;=25),"Dangerous","OK")</f>
        <v>OK</v>
      </c>
      <c r="S214" s="121" t="str">
        <f>IF(OR(S212&gt;=55),"Dangerous","OK")</f>
        <v>OK</v>
      </c>
      <c r="T214" s="121" t="str">
        <f>IF(T212&gt;=0.5,"Dangerous","OK")</f>
        <v>OK</v>
      </c>
      <c r="U214" s="121" t="str">
        <f>IF(U212&gt;=3.5,"Dangerous","OK")</f>
        <v>OK</v>
      </c>
      <c r="V214" s="121" t="str">
        <f>IF(V212&gt;=22.5,"Dangerous","OK")</f>
        <v>OK</v>
      </c>
      <c r="W214" s="120" t="str">
        <f>IF(W212&gt;=0.1,"Dangerous","OK")</f>
        <v>OK</v>
      </c>
      <c r="X214" s="120" t="str">
        <f>IF(X212&gt;=1,"Dangerous","OK")</f>
        <v>OK</v>
      </c>
      <c r="Y214" s="120" t="str">
        <f>IF(Y212&gt;=5,"Dangerous","OK")</f>
        <v>OK</v>
      </c>
      <c r="Z214" s="120" t="str">
        <f>IF(Z212&gt;=0.3, "Dangerous","OK")</f>
        <v>OK</v>
      </c>
      <c r="AA214" s="120" t="str">
        <f>IF(AA212&gt;=0.1, "Dangerous","OK")</f>
        <v>OK</v>
      </c>
      <c r="AB214" s="120" t="str">
        <f>IF(AB212&gt;=0.1, "Dangerous","OK")</f>
        <v>OK</v>
      </c>
      <c r="AC214" s="120" t="str">
        <f>IF(OR(AC212&gt;=10), "Dangerous","OK")</f>
        <v>OK</v>
      </c>
      <c r="AD214" s="121" t="str">
        <f>IF(OR(AD212&gt;=25),"Dangerous","OK")</f>
        <v>OK</v>
      </c>
      <c r="AE214" s="121" t="str">
        <f>IF(OR(AE212&gt;=25),"Dangerous","OK")</f>
        <v>OK</v>
      </c>
      <c r="AF214" s="121" t="str">
        <f>IF(OR(AF212&gt;=25),"Dangerous","OK")</f>
        <v>OK</v>
      </c>
    </row>
    <row r="215" spans="2:32" ht="13.8" thickBot="1" x14ac:dyDescent="0.3">
      <c r="B215" s="42"/>
      <c r="C215" s="43"/>
      <c r="D215" s="43"/>
      <c r="E215" s="43"/>
      <c r="F215" s="43"/>
      <c r="G215" s="43"/>
      <c r="H215" s="43"/>
      <c r="I215" s="43"/>
      <c r="J215" s="43"/>
      <c r="K215" s="43"/>
      <c r="L215" s="43"/>
      <c r="M215" s="43"/>
      <c r="N215" s="43"/>
      <c r="O215" s="43"/>
      <c r="P215" s="43"/>
      <c r="Q215" s="43"/>
      <c r="R215" s="43"/>
      <c r="S215" s="43"/>
      <c r="T215" s="43"/>
      <c r="U215" s="43"/>
      <c r="V215" s="43"/>
      <c r="W215" s="43"/>
      <c r="X215" s="43"/>
      <c r="Y215" s="43"/>
      <c r="Z215" s="43"/>
      <c r="AA215" s="43"/>
      <c r="AB215" s="43"/>
      <c r="AC215" s="43"/>
      <c r="AD215" s="122"/>
      <c r="AE215" s="122"/>
      <c r="AF215" s="123"/>
    </row>
    <row r="216" spans="2:32" x14ac:dyDescent="0.25">
      <c r="B216" s="124"/>
      <c r="C216" s="125"/>
      <c r="D216" s="125"/>
      <c r="E216" s="125"/>
      <c r="F216" s="125"/>
      <c r="G216" s="125"/>
      <c r="H216" s="125"/>
      <c r="I216" s="125"/>
      <c r="J216" s="125"/>
      <c r="K216" s="125"/>
      <c r="L216" s="125"/>
      <c r="M216" s="125"/>
      <c r="N216" s="125"/>
      <c r="O216" s="125"/>
      <c r="P216" s="125"/>
      <c r="Q216" s="125"/>
      <c r="R216" s="125"/>
      <c r="S216" s="125"/>
      <c r="T216" s="125"/>
      <c r="U216" s="125"/>
      <c r="V216" s="125"/>
      <c r="W216" s="125"/>
      <c r="X216" s="125"/>
      <c r="Y216" s="359" t="s">
        <v>2</v>
      </c>
      <c r="Z216" s="360"/>
      <c r="AA216" s="315" t="str">
        <f>IF(AND(J214="OK",K214="OK", L214="OK",M214="OK",N214="OK",O214="OK",P214="OK",Q214="OK",R214="OK",S214="OK",T214="OK",U214="OK",V214="OK",W214="OK",X214="OK",Y214="OK",Z214="OK",AA214="OK",AC214="OK",AD214="OK",AE214="OK",AF214="OK"),"Geen gevaarlijk afval", "Gevaarlijk afval")</f>
        <v>Geen gevaarlijk afval</v>
      </c>
      <c r="AB216" s="196"/>
      <c r="AC216" s="197"/>
      <c r="AD216" s="42"/>
      <c r="AE216" s="43"/>
      <c r="AF216" s="126"/>
    </row>
    <row r="217" spans="2:32" ht="13.8" thickBot="1" x14ac:dyDescent="0.3">
      <c r="B217" s="124"/>
      <c r="C217" s="125"/>
      <c r="D217" s="125"/>
      <c r="E217" s="125"/>
      <c r="F217" s="125"/>
      <c r="G217" s="125"/>
      <c r="H217" s="125"/>
      <c r="I217" s="125"/>
      <c r="J217" s="125"/>
      <c r="K217" s="125"/>
      <c r="L217" s="125"/>
      <c r="M217" s="125"/>
      <c r="N217" s="125"/>
      <c r="O217" s="125"/>
      <c r="P217" s="125"/>
      <c r="Q217" s="125"/>
      <c r="R217" s="125"/>
      <c r="S217" s="125"/>
      <c r="T217" s="125"/>
      <c r="U217" s="125"/>
      <c r="V217" s="125"/>
      <c r="W217" s="125"/>
      <c r="X217" s="125"/>
      <c r="Y217" s="361" t="s">
        <v>3</v>
      </c>
      <c r="Z217" s="362"/>
      <c r="AA217" s="198" t="str">
        <f>IF(AA216="Hazardous","17.05.05", "17.05.06")</f>
        <v>17.05.06</v>
      </c>
      <c r="AB217" s="195"/>
      <c r="AC217" s="199"/>
      <c r="AD217" s="43"/>
      <c r="AE217" s="43"/>
      <c r="AF217" s="126"/>
    </row>
    <row r="218" spans="2:32" ht="13.8" thickBot="1" x14ac:dyDescent="0.3">
      <c r="B218" s="127"/>
      <c r="C218" s="128"/>
      <c r="D218" s="128"/>
      <c r="E218" s="128"/>
      <c r="F218" s="128"/>
      <c r="G218" s="128"/>
      <c r="H218" s="128"/>
      <c r="I218" s="128"/>
      <c r="J218" s="128"/>
      <c r="K218" s="128"/>
      <c r="L218" s="128"/>
      <c r="M218" s="128"/>
      <c r="N218" s="128"/>
      <c r="O218" s="128"/>
      <c r="P218" s="128"/>
      <c r="Q218" s="128"/>
      <c r="R218" s="128"/>
      <c r="S218" s="128"/>
      <c r="T218" s="128"/>
      <c r="U218" s="128"/>
      <c r="V218" s="128"/>
      <c r="W218" s="128"/>
      <c r="X218" s="128"/>
      <c r="Y218" s="128"/>
      <c r="Z218" s="128"/>
      <c r="AA218" s="129"/>
      <c r="AB218" s="129"/>
      <c r="AC218" s="129"/>
      <c r="AD218" s="129"/>
      <c r="AE218" s="129"/>
      <c r="AF218" s="130"/>
    </row>
    <row r="222" spans="2:32" x14ac:dyDescent="0.25">
      <c r="D222" s="1" t="s">
        <v>39</v>
      </c>
      <c r="E222" s="11" t="s">
        <v>249</v>
      </c>
      <c r="F222" s="131" t="s">
        <v>9</v>
      </c>
      <c r="G222" s="131"/>
    </row>
    <row r="223" spans="2:32" x14ac:dyDescent="0.25">
      <c r="D223" s="1" t="s">
        <v>38</v>
      </c>
      <c r="E223" s="132">
        <f>D10</f>
        <v>2.25</v>
      </c>
      <c r="F223" s="131" t="s">
        <v>250</v>
      </c>
      <c r="G223" s="131"/>
      <c r="H223" s="131" t="s">
        <v>10</v>
      </c>
    </row>
    <row r="224" spans="2:32" x14ac:dyDescent="0.25">
      <c r="E224" s="132"/>
      <c r="F224" s="131"/>
      <c r="G224" s="131"/>
      <c r="H224" s="131"/>
    </row>
    <row r="225" spans="2:9" x14ac:dyDescent="0.25">
      <c r="B225" s="133" t="s">
        <v>403</v>
      </c>
      <c r="C225" s="133"/>
      <c r="D225" s="133">
        <f>D17</f>
        <v>0</v>
      </c>
      <c r="E225" s="132"/>
      <c r="F225" s="1">
        <f>(D225/As)*(As*2+O*3)/E223</f>
        <v>0</v>
      </c>
      <c r="H225" s="134">
        <f t="shared" ref="H225:H233" si="31">F225/1000000*100</f>
        <v>0</v>
      </c>
      <c r="I225" s="11" t="s">
        <v>406</v>
      </c>
    </row>
    <row r="226" spans="2:9" x14ac:dyDescent="0.25">
      <c r="B226" s="133" t="s">
        <v>140</v>
      </c>
      <c r="C226" s="133"/>
      <c r="D226" s="133">
        <f>D18</f>
        <v>0</v>
      </c>
      <c r="F226" s="1">
        <f>(D226/Ba)*(Ba+(Cl+O*3)*2)/E223</f>
        <v>0</v>
      </c>
      <c r="H226" s="134">
        <f t="shared" si="31"/>
        <v>0</v>
      </c>
      <c r="I226" s="1" t="s">
        <v>141</v>
      </c>
    </row>
    <row r="227" spans="2:9" x14ac:dyDescent="0.25">
      <c r="B227" s="133"/>
      <c r="C227" s="133"/>
      <c r="D227" s="133"/>
      <c r="F227" s="1">
        <f>(D226/Ba)*(Ba+C_+O*3)/E223</f>
        <v>0</v>
      </c>
      <c r="H227" s="134">
        <f t="shared" si="31"/>
        <v>0</v>
      </c>
      <c r="I227" s="1" t="s">
        <v>142</v>
      </c>
    </row>
    <row r="228" spans="2:9" x14ac:dyDescent="0.25">
      <c r="B228" s="133"/>
      <c r="C228" s="133"/>
      <c r="D228" s="133"/>
      <c r="F228" s="1">
        <f>(D226/Ba)*(Ba+S)/E223</f>
        <v>0</v>
      </c>
      <c r="H228" s="134">
        <f t="shared" si="31"/>
        <v>0</v>
      </c>
      <c r="I228" s="1" t="s">
        <v>143</v>
      </c>
    </row>
    <row r="229" spans="2:9" x14ac:dyDescent="0.25">
      <c r="B229" s="133"/>
      <c r="C229" s="133"/>
      <c r="D229" s="133"/>
      <c r="F229" s="1">
        <f>(D226/Ba)*(Ba+S+H*2)/E223</f>
        <v>0</v>
      </c>
      <c r="H229" s="134">
        <f t="shared" si="31"/>
        <v>0</v>
      </c>
      <c r="I229" s="1" t="s">
        <v>144</v>
      </c>
    </row>
    <row r="230" spans="2:9" x14ac:dyDescent="0.25">
      <c r="B230" s="133"/>
      <c r="C230" s="133"/>
      <c r="D230" s="133"/>
      <c r="F230" s="1">
        <f>(D226/Ba)*(Ba+Cl*2+O*8)/E223</f>
        <v>0</v>
      </c>
      <c r="H230" s="134">
        <f t="shared" si="31"/>
        <v>0</v>
      </c>
      <c r="I230" s="1" t="s">
        <v>145</v>
      </c>
    </row>
    <row r="231" spans="2:9" x14ac:dyDescent="0.25">
      <c r="B231" s="133"/>
      <c r="C231" s="133"/>
      <c r="D231" s="133"/>
      <c r="F231" s="1">
        <f>(D226/Ba)*(Ba+O*2)/E223</f>
        <v>0</v>
      </c>
      <c r="H231" s="134">
        <f t="shared" si="31"/>
        <v>0</v>
      </c>
      <c r="I231" s="1" t="s">
        <v>146</v>
      </c>
    </row>
    <row r="232" spans="2:9" x14ac:dyDescent="0.25">
      <c r="B232" s="133"/>
      <c r="C232" s="133"/>
      <c r="D232" s="133"/>
      <c r="F232" s="1">
        <f>(D226/Ba)*(Ba)/E223</f>
        <v>0</v>
      </c>
      <c r="H232" s="134">
        <f t="shared" si="31"/>
        <v>0</v>
      </c>
      <c r="I232" s="1" t="s">
        <v>147</v>
      </c>
    </row>
    <row r="233" spans="2:9" x14ac:dyDescent="0.25">
      <c r="B233" s="133"/>
      <c r="C233" s="133"/>
      <c r="D233" s="133"/>
      <c r="F233" s="1">
        <f>(D226/Ba)*(Ba+Cl*2)/E223</f>
        <v>0</v>
      </c>
      <c r="H233" s="134">
        <f t="shared" si="31"/>
        <v>0</v>
      </c>
      <c r="I233" s="1" t="s">
        <v>148</v>
      </c>
    </row>
    <row r="234" spans="2:9" x14ac:dyDescent="0.25">
      <c r="B234" s="133" t="s">
        <v>164</v>
      </c>
      <c r="C234" s="133"/>
      <c r="D234" s="133">
        <f>D26</f>
        <v>0</v>
      </c>
      <c r="F234" s="1">
        <f>$D$234/Zn*(Zn+S*4+N*2+H*6+C_*4)/$E$223</f>
        <v>0</v>
      </c>
      <c r="H234" s="134">
        <f t="shared" ref="H234:H249" si="32">F234/1000000*100</f>
        <v>0</v>
      </c>
      <c r="I234" s="11" t="s">
        <v>165</v>
      </c>
    </row>
    <row r="235" spans="2:9" x14ac:dyDescent="0.25">
      <c r="B235" s="133"/>
      <c r="C235" s="133"/>
      <c r="D235" s="133"/>
      <c r="F235" s="1">
        <f>$D$234/Zn*(Zn+S*4+N*2+H*12+C_*6)/$E$223</f>
        <v>0</v>
      </c>
      <c r="H235" s="134">
        <f t="shared" si="32"/>
        <v>0</v>
      </c>
      <c r="I235" s="11" t="s">
        <v>190</v>
      </c>
    </row>
    <row r="236" spans="2:9" x14ac:dyDescent="0.25">
      <c r="B236" s="133"/>
      <c r="C236" s="133"/>
      <c r="D236" s="133"/>
      <c r="F236" s="1">
        <f>$D$234/Zn*(Zn+S*4+N*2+H*36+C_*18)/$E$223</f>
        <v>0</v>
      </c>
      <c r="H236" s="134">
        <f t="shared" si="32"/>
        <v>0</v>
      </c>
      <c r="I236" s="135" t="s">
        <v>166</v>
      </c>
    </row>
    <row r="237" spans="2:9" x14ac:dyDescent="0.25">
      <c r="B237" s="133"/>
      <c r="C237" s="133"/>
      <c r="D237" s="133"/>
      <c r="F237" s="1">
        <f>$D$234/Zn*(Zn+S*4+N*2+H*20+C_*10)/$E$223</f>
        <v>0</v>
      </c>
      <c r="H237" s="134">
        <f t="shared" si="32"/>
        <v>0</v>
      </c>
      <c r="I237" s="135" t="s">
        <v>170</v>
      </c>
    </row>
    <row r="238" spans="2:9" x14ac:dyDescent="0.25">
      <c r="B238" s="133"/>
      <c r="C238" s="133"/>
      <c r="D238" s="133"/>
      <c r="F238" s="1">
        <f>$D$234/Zn*(Zn*3+P*2+H*2)/$E$223</f>
        <v>0</v>
      </c>
      <c r="H238" s="134">
        <f t="shared" si="32"/>
        <v>0</v>
      </c>
      <c r="I238" s="135" t="s">
        <v>174</v>
      </c>
    </row>
    <row r="239" spans="2:9" x14ac:dyDescent="0.25">
      <c r="B239" s="133"/>
      <c r="C239" s="133"/>
      <c r="D239" s="133"/>
      <c r="F239" s="1">
        <f>$D$234/Zn*(Zn+Cr+O*4)/$E$223</f>
        <v>0</v>
      </c>
      <c r="H239" s="134">
        <f t="shared" si="32"/>
        <v>0</v>
      </c>
      <c r="I239" s="135" t="s">
        <v>175</v>
      </c>
    </row>
    <row r="240" spans="2:9" x14ac:dyDescent="0.25">
      <c r="B240" s="133"/>
      <c r="C240" s="133"/>
      <c r="D240" s="133"/>
      <c r="F240" s="1">
        <f>$D$234/Zn*(Zn+Cl*2)/$E$223</f>
        <v>0</v>
      </c>
      <c r="H240" s="134">
        <f t="shared" si="32"/>
        <v>0</v>
      </c>
      <c r="I240" s="11" t="s">
        <v>177</v>
      </c>
    </row>
    <row r="241" spans="2:11" x14ac:dyDescent="0.25">
      <c r="B241" s="133"/>
      <c r="C241" s="133"/>
      <c r="D241" s="133"/>
      <c r="F241" s="1">
        <f>$D$234/Zn*(Zn+C_*4+H*10)/$E$223</f>
        <v>0</v>
      </c>
      <c r="H241" s="134">
        <f t="shared" si="32"/>
        <v>0</v>
      </c>
      <c r="I241" s="135" t="s">
        <v>180</v>
      </c>
    </row>
    <row r="242" spans="2:11" x14ac:dyDescent="0.25">
      <c r="B242" s="133"/>
      <c r="C242" s="133"/>
      <c r="D242" s="133"/>
      <c r="F242" s="1">
        <f>$D$234/Zn*(Zn+C_*2+N*4+O*2)/$E$223</f>
        <v>0</v>
      </c>
      <c r="H242" s="134">
        <f t="shared" si="32"/>
        <v>0</v>
      </c>
      <c r="I242" s="135" t="s">
        <v>181</v>
      </c>
    </row>
    <row r="243" spans="2:11" x14ac:dyDescent="0.25">
      <c r="B243" s="133"/>
      <c r="C243" s="133"/>
      <c r="D243" s="133"/>
      <c r="F243" s="1">
        <f>$D$234/Zn*(Zn+S+H*2+O*5)/$E$223</f>
        <v>0</v>
      </c>
      <c r="H243" s="134">
        <f t="shared" si="32"/>
        <v>0</v>
      </c>
      <c r="I243" s="135" t="s">
        <v>183</v>
      </c>
    </row>
    <row r="244" spans="2:11" x14ac:dyDescent="0.25">
      <c r="B244" s="133"/>
      <c r="C244" s="133"/>
      <c r="D244" s="133"/>
      <c r="F244" s="1">
        <f>$D$234/Zn*(Zn+O*6+H*42+O*30)/$E$223</f>
        <v>0</v>
      </c>
      <c r="H244" s="134">
        <f t="shared" si="32"/>
        <v>0</v>
      </c>
      <c r="I244" s="135" t="s">
        <v>185</v>
      </c>
    </row>
    <row r="245" spans="2:11" x14ac:dyDescent="0.25">
      <c r="B245" s="133"/>
      <c r="C245" s="133"/>
      <c r="D245" s="133"/>
      <c r="F245" s="1">
        <f>$D$234/Zn*(Zn*3+O*8+P*2)/$E$223</f>
        <v>0</v>
      </c>
      <c r="H245" s="134">
        <f t="shared" si="32"/>
        <v>0</v>
      </c>
      <c r="I245" s="135" t="s">
        <v>187</v>
      </c>
    </row>
    <row r="246" spans="2:11" x14ac:dyDescent="0.25">
      <c r="B246" s="133"/>
      <c r="C246" s="133"/>
      <c r="D246" s="133"/>
      <c r="F246" s="1">
        <f>$D$234/Zn*(Zn+O)/$E$223</f>
        <v>0</v>
      </c>
      <c r="H246" s="134">
        <f t="shared" si="32"/>
        <v>0</v>
      </c>
      <c r="I246" s="135" t="s">
        <v>189</v>
      </c>
    </row>
    <row r="247" spans="2:11" x14ac:dyDescent="0.25">
      <c r="B247" s="133" t="s">
        <v>194</v>
      </c>
      <c r="C247" s="133"/>
      <c r="D247" s="133">
        <f>D23</f>
        <v>0</v>
      </c>
      <c r="F247" s="1">
        <f>$D$247/Pb*(Pb+F*6+Si)/$E$223</f>
        <v>0</v>
      </c>
      <c r="H247" s="134">
        <f t="shared" si="32"/>
        <v>0</v>
      </c>
      <c r="I247" s="135" t="s">
        <v>195</v>
      </c>
    </row>
    <row r="248" spans="2:11" x14ac:dyDescent="0.25">
      <c r="B248" s="133"/>
      <c r="C248" s="133"/>
      <c r="D248" s="133"/>
      <c r="F248" s="1">
        <f>$D$247/Pb*(Pb+N*6)/$E$223</f>
        <v>0</v>
      </c>
      <c r="H248" s="134">
        <f>F248/1000000*100</f>
        <v>0</v>
      </c>
      <c r="I248" s="135" t="s">
        <v>197</v>
      </c>
    </row>
    <row r="249" spans="2:11" x14ac:dyDescent="0.25">
      <c r="B249" s="133"/>
      <c r="C249" s="133"/>
      <c r="D249" s="133"/>
      <c r="F249" s="1">
        <f>$D$247/Pb*(Pb+Cr+O*4)/$E$223</f>
        <v>0</v>
      </c>
      <c r="H249" s="134">
        <f t="shared" si="32"/>
        <v>0</v>
      </c>
      <c r="I249" s="135" t="s">
        <v>199</v>
      </c>
    </row>
    <row r="250" spans="2:11" x14ac:dyDescent="0.25">
      <c r="B250" s="133"/>
      <c r="C250" s="133"/>
      <c r="D250" s="133"/>
      <c r="F250" s="1">
        <f>$D$247/Pb*(Pb+C_*2+H*4+O*2)/$E$223</f>
        <v>0</v>
      </c>
      <c r="H250" s="134">
        <f t="shared" ref="H250:H261" si="33">F250/1000000*100</f>
        <v>0</v>
      </c>
      <c r="I250" t="s">
        <v>213</v>
      </c>
    </row>
    <row r="251" spans="2:11" x14ac:dyDescent="0.25">
      <c r="B251" s="133"/>
      <c r="C251" s="133"/>
      <c r="D251" s="133"/>
      <c r="F251" s="1">
        <f>$D$247/Pb*(Pb*3+P*2+O*8)/$E$223</f>
        <v>0</v>
      </c>
      <c r="H251" s="134">
        <f t="shared" si="33"/>
        <v>0</v>
      </c>
      <c r="I251" t="s">
        <v>215</v>
      </c>
    </row>
    <row r="252" spans="2:11" x14ac:dyDescent="0.25">
      <c r="B252" s="133"/>
      <c r="C252" s="133"/>
      <c r="D252" s="133"/>
      <c r="F252" s="1">
        <f>$D$247/Pb*(Pb*3+C_*4+O*8+H*10)/$E$223</f>
        <v>0</v>
      </c>
      <c r="H252" s="134">
        <f t="shared" si="33"/>
        <v>0</v>
      </c>
      <c r="I252" t="s">
        <v>216</v>
      </c>
      <c r="K252" s="11"/>
    </row>
    <row r="253" spans="2:11" x14ac:dyDescent="0.25">
      <c r="B253" s="133"/>
      <c r="C253" s="133"/>
      <c r="D253" s="133"/>
      <c r="F253" s="1">
        <f>$D$247/Pb*(Pb+S*2+C_*2+O*6+H*6)/$E$223</f>
        <v>0</v>
      </c>
      <c r="H253" s="134">
        <f t="shared" si="33"/>
        <v>0</v>
      </c>
      <c r="I253" t="s">
        <v>217</v>
      </c>
    </row>
    <row r="254" spans="2:11" x14ac:dyDescent="0.25">
      <c r="B254" s="133"/>
      <c r="C254" s="133"/>
      <c r="D254" s="133"/>
      <c r="F254" s="1">
        <f>$D$247/Pb*(Pb*3+Cr+Mo+O*12+S)/$E$223</f>
        <v>0</v>
      </c>
      <c r="H254" s="134">
        <f t="shared" si="33"/>
        <v>0</v>
      </c>
      <c r="I254" t="s">
        <v>218</v>
      </c>
      <c r="K254" s="11"/>
    </row>
    <row r="255" spans="2:11" x14ac:dyDescent="0.25">
      <c r="B255" s="133"/>
      <c r="C255" s="133"/>
      <c r="D255" s="133"/>
      <c r="F255" s="1">
        <f>$D$247/Pb*(Pb+As+H+O*4)/$E$223</f>
        <v>0</v>
      </c>
      <c r="H255" s="134">
        <f t="shared" si="33"/>
        <v>0</v>
      </c>
      <c r="I255" t="s">
        <v>219</v>
      </c>
    </row>
    <row r="256" spans="2:11" x14ac:dyDescent="0.25">
      <c r="B256" s="133"/>
      <c r="C256" s="133"/>
      <c r="D256" s="133"/>
      <c r="F256" s="1">
        <f>$D$247/Pb*(C_*6+H+N*3+O*8+Pb)/$E$223</f>
        <v>0</v>
      </c>
      <c r="H256" s="134">
        <f t="shared" si="33"/>
        <v>0</v>
      </c>
      <c r="I256" t="s">
        <v>221</v>
      </c>
    </row>
    <row r="257" spans="2:9" x14ac:dyDescent="0.25">
      <c r="B257" s="133" t="s">
        <v>223</v>
      </c>
      <c r="C257" s="133"/>
      <c r="D257" s="133">
        <f>D27</f>
        <v>0</v>
      </c>
      <c r="F257" s="1">
        <f>$D$257/Cr*(Cr+O*3)/$E$223</f>
        <v>0</v>
      </c>
      <c r="H257" s="134">
        <f t="shared" si="33"/>
        <v>0</v>
      </c>
      <c r="I257" t="s">
        <v>224</v>
      </c>
    </row>
    <row r="258" spans="2:9" x14ac:dyDescent="0.25">
      <c r="B258" s="133"/>
      <c r="C258" s="133"/>
      <c r="D258" s="133"/>
      <c r="F258" s="1">
        <f>$D$257/Cr*(Cr*2+H*2+_xlfn.SINGLE(Kalium)+O*7)/$E$223</f>
        <v>0</v>
      </c>
      <c r="H258" s="134">
        <f t="shared" si="33"/>
        <v>0</v>
      </c>
      <c r="I258" t="s">
        <v>227</v>
      </c>
    </row>
    <row r="259" spans="2:9" x14ac:dyDescent="0.25">
      <c r="B259" s="133"/>
      <c r="C259" s="133"/>
      <c r="D259" s="133"/>
      <c r="F259" s="1">
        <f>$D$257/Cr*(Cr*2+H*8+N*2+O*7)/$E$223</f>
        <v>0</v>
      </c>
      <c r="H259" s="134">
        <f t="shared" si="33"/>
        <v>0</v>
      </c>
      <c r="I259" t="s">
        <v>229</v>
      </c>
    </row>
    <row r="260" spans="2:9" x14ac:dyDescent="0.25">
      <c r="B260" s="133"/>
      <c r="C260" s="133"/>
      <c r="D260" s="133"/>
      <c r="F260" s="1">
        <f>$D$257/Cr*(Cr*2+Na*2+O*7)/$E$223</f>
        <v>0</v>
      </c>
      <c r="H260" s="134">
        <f t="shared" si="33"/>
        <v>0</v>
      </c>
      <c r="I260" t="s">
        <v>230</v>
      </c>
    </row>
    <row r="261" spans="2:9" x14ac:dyDescent="0.25">
      <c r="B261" s="136"/>
      <c r="C261" s="136"/>
      <c r="D261" s="133"/>
      <c r="F261" s="1">
        <f>$D$257/Cr*(Cr*2+H*4+Na*2+O*9)/$E$223</f>
        <v>0</v>
      </c>
      <c r="H261" s="134">
        <f t="shared" si="33"/>
        <v>0</v>
      </c>
      <c r="I261" t="s">
        <v>231</v>
      </c>
    </row>
    <row r="262" spans="2:9" x14ac:dyDescent="0.25">
      <c r="B262" s="133"/>
      <c r="C262" s="133"/>
      <c r="D262" s="133"/>
      <c r="F262" s="1">
        <f>$D$257/Cr*(Cr*2+Cl*2+O*2)/$E$223</f>
        <v>0</v>
      </c>
      <c r="H262" s="134">
        <f t="shared" ref="H262:H272" si="34">F262/1000000*100</f>
        <v>0</v>
      </c>
      <c r="I262" t="s">
        <v>232</v>
      </c>
    </row>
    <row r="263" spans="2:9" x14ac:dyDescent="0.25">
      <c r="B263" s="133"/>
      <c r="C263" s="133"/>
      <c r="D263" s="133"/>
      <c r="F263" s="1">
        <f>$D$257/Cr*(Cr+_xlfn.SINGLE(Kalium)*2+O*4)/$E$223</f>
        <v>0</v>
      </c>
      <c r="H263" s="134">
        <f t="shared" si="34"/>
        <v>0</v>
      </c>
      <c r="I263" t="s">
        <v>234</v>
      </c>
    </row>
    <row r="264" spans="2:9" x14ac:dyDescent="0.25">
      <c r="B264" s="133"/>
      <c r="C264" s="133"/>
      <c r="D264" s="133"/>
      <c r="F264" s="1">
        <f>$D$257/Cr*(Zn+Cr+O*4)/$E$223</f>
        <v>0</v>
      </c>
      <c r="H264" s="134">
        <f t="shared" si="34"/>
        <v>0</v>
      </c>
      <c r="I264" s="135" t="s">
        <v>175</v>
      </c>
    </row>
    <row r="265" spans="2:9" x14ac:dyDescent="0.25">
      <c r="B265" s="136"/>
      <c r="C265" s="136"/>
      <c r="D265" s="133"/>
      <c r="F265" s="1">
        <f>$D$257/Cr*(Ca+Cr+O*4)/$E$223</f>
        <v>0</v>
      </c>
      <c r="H265" s="134">
        <f t="shared" si="34"/>
        <v>0</v>
      </c>
      <c r="I265" t="s">
        <v>237</v>
      </c>
    </row>
    <row r="266" spans="2:9" x14ac:dyDescent="0.25">
      <c r="B266" s="136"/>
      <c r="C266" s="136"/>
      <c r="D266" s="133"/>
      <c r="F266" s="1">
        <f>$D$257/Cr*(Sr+Cr+O*4)/$E$223</f>
        <v>0</v>
      </c>
      <c r="H266" s="134">
        <f t="shared" si="34"/>
        <v>0</v>
      </c>
      <c r="I266" t="s">
        <v>239</v>
      </c>
    </row>
    <row r="267" spans="2:9" x14ac:dyDescent="0.25">
      <c r="B267" s="136"/>
      <c r="C267" s="136"/>
      <c r="D267" s="133"/>
      <c r="F267" s="1">
        <f>$D$257/Cr*(Cr*8+O*21)/$E$223</f>
        <v>0</v>
      </c>
      <c r="H267" s="134">
        <f t="shared" si="34"/>
        <v>0</v>
      </c>
      <c r="I267" t="s">
        <v>240</v>
      </c>
    </row>
    <row r="268" spans="2:9" x14ac:dyDescent="0.25">
      <c r="B268" s="136"/>
      <c r="C268" s="136"/>
      <c r="D268" s="133"/>
      <c r="F268" s="1">
        <f>$D$257/Cr*(C_*32+H*20+Cl*2+Cr+N*6+Na*3+O*14+S*2)/$E$223</f>
        <v>0</v>
      </c>
      <c r="H268" s="134">
        <f t="shared" si="34"/>
        <v>0</v>
      </c>
      <c r="I268" t="s">
        <v>242</v>
      </c>
    </row>
    <row r="269" spans="2:9" x14ac:dyDescent="0.25">
      <c r="B269" s="133"/>
      <c r="C269" s="133"/>
      <c r="D269" s="133"/>
      <c r="F269" s="1">
        <f>$D$257/Cr*(C_*46+H*50+Cl*2+Cr+N*5+O*4)/$E$223</f>
        <v>0</v>
      </c>
      <c r="H269" s="134">
        <f t="shared" si="34"/>
        <v>0</v>
      </c>
      <c r="I269" t="s">
        <v>252</v>
      </c>
    </row>
    <row r="270" spans="2:9" x14ac:dyDescent="0.25">
      <c r="B270" s="133"/>
      <c r="C270" s="133"/>
      <c r="D270" s="133"/>
      <c r="F270" s="1">
        <f>$D$257/Cr*(Cr+Na*2+O*4)/$E$223</f>
        <v>0</v>
      </c>
      <c r="H270" s="134">
        <f t="shared" si="34"/>
        <v>0</v>
      </c>
      <c r="I270" t="s">
        <v>245</v>
      </c>
    </row>
    <row r="271" spans="2:9" x14ac:dyDescent="0.25">
      <c r="B271" s="136"/>
      <c r="C271" s="136"/>
      <c r="D271" s="133"/>
      <c r="F271" s="1">
        <f>$D$257/Cr*(Pb+Cr+O*4)/$E$223</f>
        <v>0</v>
      </c>
      <c r="H271" s="134">
        <f t="shared" si="34"/>
        <v>0</v>
      </c>
      <c r="I271" t="s">
        <v>199</v>
      </c>
    </row>
    <row r="272" spans="2:9" x14ac:dyDescent="0.25">
      <c r="B272" s="136"/>
      <c r="C272" s="136"/>
      <c r="D272" s="133"/>
      <c r="F272" s="1">
        <f>$D$257/Cr*(Pb*3+Cr+Mo+O*12+S)/$E$223</f>
        <v>0</v>
      </c>
      <c r="H272" s="134">
        <f t="shared" si="34"/>
        <v>0</v>
      </c>
      <c r="I272" t="s">
        <v>218</v>
      </c>
    </row>
  </sheetData>
  <sheetProtection algorithmName="SHA-512" hashValue="6X9A7SrT7rpI0P7k+hFJGuP0IBKomIcQCY2fwSvlUSbVMb90O4AoZRdL1FUSnYs910Djp/JEFacXIGsUdc3JXQ==" saltValue="PgS5ucfRde3qANHy4FCU+g==" spinCount="100000" sheet="1" selectLockedCells="1" selectUnlockedCells="1"/>
  <mergeCells count="14">
    <mergeCell ref="AD131:AF132"/>
    <mergeCell ref="AA131:AB132"/>
    <mergeCell ref="Y216:Z216"/>
    <mergeCell ref="Y217:Z217"/>
    <mergeCell ref="Z131:Z132"/>
    <mergeCell ref="AC131:AC132"/>
    <mergeCell ref="W131:X132"/>
    <mergeCell ref="Y131:Y132"/>
    <mergeCell ref="O131:V132"/>
    <mergeCell ref="B213:F213"/>
    <mergeCell ref="J131:K132"/>
    <mergeCell ref="L131:N132"/>
    <mergeCell ref="D132:D133"/>
    <mergeCell ref="I132:I133"/>
  </mergeCells>
  <phoneticPr fontId="2" type="noConversion"/>
  <conditionalFormatting sqref="C16">
    <cfRule type="cellIs" dxfId="15" priority="2" operator="equal">
      <formula>0</formula>
    </cfRule>
  </conditionalFormatting>
  <conditionalFormatting sqref="C17:C129">
    <cfRule type="cellIs" dxfId="14" priority="3" operator="equal">
      <formula>0</formula>
    </cfRule>
  </conditionalFormatting>
  <conditionalFormatting sqref="F29 F46:F49">
    <cfRule type="cellIs" dxfId="13" priority="7" stopIfTrue="1" operator="equal">
      <formula>"Hazardous"</formula>
    </cfRule>
  </conditionalFormatting>
  <conditionalFormatting sqref="F32:F42">
    <cfRule type="cellIs" dxfId="12" priority="5" stopIfTrue="1" operator="equal">
      <formula>"Hazardous"</formula>
    </cfRule>
  </conditionalFormatting>
  <conditionalFormatting sqref="F51:F57 H58">
    <cfRule type="cellIs" dxfId="11" priority="11" stopIfTrue="1" operator="equal">
      <formula>"Hazardous"</formula>
    </cfRule>
  </conditionalFormatting>
  <conditionalFormatting sqref="F61:F64 F69:G92">
    <cfRule type="cellIs" dxfId="10" priority="12" stopIfTrue="1" operator="equal">
      <formula>"Hazardous"</formula>
    </cfRule>
  </conditionalFormatting>
  <conditionalFormatting sqref="F17:G17 F18:F27 G18:G38 G40:G43 G45 G49:G64">
    <cfRule type="cellIs" dxfId="9" priority="10" stopIfTrue="1" operator="equal">
      <formula>"Hazardous"</formula>
    </cfRule>
  </conditionalFormatting>
  <conditionalFormatting sqref="J214:AF214">
    <cfRule type="cellIs" dxfId="8" priority="13" stopIfTrue="1" operator="equal">
      <formula>"Dangerous"</formula>
    </cfRule>
  </conditionalFormatting>
  <pageMargins left="0.39370078740157483" right="0.39370078740157483" top="0.39370078740157483" bottom="0.39370078740157483" header="0" footer="0"/>
  <pageSetup paperSize="8" scale="42" fitToHeight="0" orientation="landscape" errors="blank" r:id="rId1"/>
  <headerFooter alignWithMargins="0"/>
  <rowBreaks count="1" manualBreakCount="1">
    <brk id="129" min="1" max="2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CE010-7CA4-4CC4-BC50-6C7724975646}">
  <sheetPr>
    <pageSetUpPr fitToPage="1"/>
  </sheetPr>
  <dimension ref="A1:AB125"/>
  <sheetViews>
    <sheetView showGridLines="0" view="pageBreakPreview" topLeftCell="A74" zoomScale="85" zoomScaleNormal="85" zoomScaleSheetLayoutView="85" workbookViewId="0">
      <selection activeCell="A14" sqref="A14:XFD14"/>
    </sheetView>
  </sheetViews>
  <sheetFormatPr defaultRowHeight="13.2" x14ac:dyDescent="0.25"/>
  <cols>
    <col min="1" max="1" width="8.88671875" style="288"/>
    <col min="2" max="2" width="51.6640625" style="185" bestFit="1" customWidth="1"/>
    <col min="3" max="3" width="11.21875" style="162" customWidth="1"/>
    <col min="4" max="4" width="20.5546875" style="162" customWidth="1"/>
    <col min="5" max="5" width="26.33203125" style="162" customWidth="1"/>
    <col min="6" max="6" width="18.21875" style="162" customWidth="1"/>
    <col min="7" max="7" width="18.33203125" style="162" bestFit="1" customWidth="1"/>
    <col min="8" max="8" width="19.33203125" style="162" bestFit="1" customWidth="1"/>
    <col min="9" max="9" width="19.109375" style="162" bestFit="1" customWidth="1"/>
    <col min="10" max="10" width="26.5546875" style="162" bestFit="1" customWidth="1"/>
    <col min="11" max="11" width="17.88671875" style="288" hidden="1" customWidth="1"/>
    <col min="12" max="12" width="22.44140625" style="288" hidden="1" customWidth="1"/>
    <col min="13" max="13" width="16.88671875" style="288" hidden="1" customWidth="1"/>
    <col min="14" max="14" width="24.88671875" style="288" hidden="1" customWidth="1"/>
    <col min="15" max="15" width="0" style="288" hidden="1" customWidth="1"/>
    <col min="16" max="19" width="15.77734375" style="288" hidden="1" customWidth="1"/>
    <col min="20" max="20" width="19.33203125" style="288" hidden="1" customWidth="1"/>
    <col min="21" max="21" width="22.5546875" style="288" hidden="1" customWidth="1"/>
    <col min="22" max="22" width="19.44140625" style="288" hidden="1" customWidth="1"/>
    <col min="23" max="23" width="16.33203125" style="288" hidden="1" customWidth="1"/>
    <col min="24" max="28" width="0" style="288" hidden="1" customWidth="1"/>
    <col min="29" max="30" width="0" style="162" hidden="1" customWidth="1"/>
    <col min="31" max="16384" width="8.88671875" style="162"/>
  </cols>
  <sheetData>
    <row r="1" spans="2:28" x14ac:dyDescent="0.25">
      <c r="B1" s="144" t="s">
        <v>325</v>
      </c>
      <c r="C1" s="308">
        <f>Invoertabblad!C2</f>
        <v>0</v>
      </c>
      <c r="D1" s="3"/>
    </row>
    <row r="2" spans="2:28" x14ac:dyDescent="0.25">
      <c r="B2" s="144" t="str">
        <f>Invoertabblad!B3</f>
        <v>Rapportage kenmerk:</v>
      </c>
      <c r="C2" s="213">
        <f>Invoertabblad!C3</f>
        <v>0</v>
      </c>
      <c r="D2" s="6"/>
    </row>
    <row r="3" spans="2:28" x14ac:dyDescent="0.25">
      <c r="B3" s="144" t="str">
        <f>Invoertabblad!B4</f>
        <v xml:space="preserve">Rapportage datum: </v>
      </c>
      <c r="C3" s="214">
        <f>Invoertabblad!C4</f>
        <v>0</v>
      </c>
      <c r="D3" s="6"/>
    </row>
    <row r="4" spans="2:28" x14ac:dyDescent="0.25">
      <c r="B4" s="144" t="str">
        <f>Invoertabblad!B5</f>
        <v>Datum baggertoetsformulier:</v>
      </c>
      <c r="C4" s="214">
        <f ca="1">TODAY()</f>
        <v>46041</v>
      </c>
      <c r="D4" s="8"/>
    </row>
    <row r="6" spans="2:28" ht="13.8" thickBot="1" x14ac:dyDescent="0.3"/>
    <row r="7" spans="2:28" ht="13.8" thickBot="1" x14ac:dyDescent="0.3">
      <c r="T7" s="298" t="s">
        <v>489</v>
      </c>
      <c r="U7" s="299"/>
      <c r="V7" s="299"/>
      <c r="W7" s="299"/>
      <c r="X7" s="299"/>
      <c r="Y7" s="300"/>
    </row>
    <row r="8" spans="2:28" ht="13.8" thickBot="1" x14ac:dyDescent="0.3">
      <c r="B8" s="186"/>
      <c r="C8" s="164"/>
      <c r="D8" s="164"/>
      <c r="E8" s="164"/>
      <c r="F8" s="363" t="s">
        <v>460</v>
      </c>
      <c r="G8" s="363"/>
      <c r="H8" s="363"/>
      <c r="I8" s="363"/>
      <c r="J8" s="167"/>
      <c r="K8" s="289" t="s">
        <v>473</v>
      </c>
      <c r="L8" s="289"/>
      <c r="M8" s="289"/>
      <c r="N8" s="290"/>
      <c r="T8" s="301"/>
      <c r="U8" s="282" t="s">
        <v>474</v>
      </c>
      <c r="V8" s="282" t="s">
        <v>475</v>
      </c>
      <c r="W8" s="282"/>
      <c r="Y8" s="295"/>
      <c r="Z8" s="292"/>
      <c r="AA8" s="292"/>
      <c r="AB8" s="292"/>
    </row>
    <row r="9" spans="2:28" ht="26.4" x14ac:dyDescent="0.25">
      <c r="B9" s="187" t="str">
        <f>standaardisering!B15</f>
        <v>Metalen</v>
      </c>
      <c r="C9" s="173" t="str">
        <f>standaardisering!C15</f>
        <v>rapportagegrens</v>
      </c>
      <c r="D9" s="173" t="str">
        <f>standaardisering!I15</f>
        <v>gestandaardiseerd gehalte</v>
      </c>
      <c r="E9" s="172" t="str">
        <f>standaardisering!K15</f>
        <v>Eenheid</v>
      </c>
      <c r="F9" s="172" t="s">
        <v>461</v>
      </c>
      <c r="G9" s="172" t="s">
        <v>462</v>
      </c>
      <c r="H9" s="172" t="s">
        <v>463</v>
      </c>
      <c r="I9" s="172" t="s">
        <v>464</v>
      </c>
      <c r="J9" s="174" t="s">
        <v>483</v>
      </c>
      <c r="K9" s="293" t="s">
        <v>472</v>
      </c>
      <c r="L9" s="293" t="s">
        <v>471</v>
      </c>
      <c r="M9" s="293"/>
      <c r="N9" s="294" t="s">
        <v>466</v>
      </c>
      <c r="S9" s="291"/>
      <c r="T9" s="302" t="s">
        <v>470</v>
      </c>
      <c r="U9" s="288" t="str" cm="1">
        <f t="array" ref="U9">_xlfn.IFS(U13&gt;0,"Sterk verontreinigd",U12&gt;0,"Matig verontreinigd",U11&gt;0,"Licht verontreinigd","WAAR","Niet verontreinigd")</f>
        <v>Niet verontreinigd</v>
      </c>
      <c r="V9" s="288" t="str" cm="1">
        <f t="array" ref="V9">_xlfn.IFS(V13&gt;0,"Sterk verontreinigd",V12&gt;0,"Matig verontreinigd",V11&gt;0,"Licht verontreinigd","WAAR","Niet verontreinigd")</f>
        <v>Niet verontreinigd</v>
      </c>
      <c r="X9" s="282" t="s">
        <v>467</v>
      </c>
      <c r="Y9" s="303"/>
    </row>
    <row r="10" spans="2:28" x14ac:dyDescent="0.25">
      <c r="B10" s="188" t="str">
        <f>standaardisering!B16</f>
        <v>Arseen (As)</v>
      </c>
      <c r="C10" s="162">
        <f>standaardisering!C16</f>
        <v>0</v>
      </c>
      <c r="D10" s="170">
        <f>standaardisering!I16</f>
        <v>0</v>
      </c>
      <c r="E10" s="162" t="str">
        <f>standaardisering!K16</f>
        <v>mg/kg ds</v>
      </c>
      <c r="F10" s="162">
        <v>20</v>
      </c>
      <c r="G10" s="162">
        <v>29</v>
      </c>
      <c r="H10" s="162">
        <v>85</v>
      </c>
      <c r="I10" s="162">
        <v>85</v>
      </c>
      <c r="J10" s="169" t="str">
        <f>IF(D10&gt;I10,"sterk verontreinigd",IF(D10&gt;H10,"sterk verontreinigd",IF(D10&gt;G10,"matig verontreinigd",IF(D10&gt;F10,"licht verontreinigd","niet verontreinigd"))))</f>
        <v>niet verontreinigd</v>
      </c>
      <c r="K10" s="288">
        <v>27</v>
      </c>
      <c r="L10" s="288">
        <f>F10*2</f>
        <v>40</v>
      </c>
      <c r="M10" s="288">
        <f>SMALL(K10:L10,1)</f>
        <v>27</v>
      </c>
      <c r="N10" s="295" t="str">
        <f t="shared" ref="N10:N20" si="0">IF(D10&gt;I10,"sterk verontreinigd",IF(D10&gt;H10,"sterk verontreinigd",IF(D10&gt;G10,"matig verontreinigd",IF(D10&gt;M10,"licht verontreinigd","niet verontreinigd"))))</f>
        <v>niet verontreinigd</v>
      </c>
      <c r="T10" s="302" t="s">
        <v>461</v>
      </c>
      <c r="U10" s="286">
        <f>COUNTIF(J10:J85, "niet verontreinigd")</f>
        <v>47</v>
      </c>
      <c r="V10" s="286">
        <f>COUNTIF(N10:N85, "niet verontreinigd")</f>
        <v>47</v>
      </c>
      <c r="W10" s="286"/>
      <c r="X10" s="288">
        <v>6</v>
      </c>
      <c r="Y10" s="295">
        <v>1</v>
      </c>
    </row>
    <row r="11" spans="2:28" x14ac:dyDescent="0.25">
      <c r="B11" s="188" t="str">
        <f>standaardisering!B17</f>
        <v>Barium (Ba)</v>
      </c>
      <c r="C11" s="162">
        <f>standaardisering!C17</f>
        <v>0</v>
      </c>
      <c r="D11" s="170">
        <f>standaardisering!I17</f>
        <v>0</v>
      </c>
      <c r="E11" s="162" t="str">
        <f>standaardisering!K17</f>
        <v>mg/kg ds</v>
      </c>
      <c r="J11" s="200" t="str">
        <f>IF(D11&gt;625,"check antropogene oorzaak barium"," ")</f>
        <v xml:space="preserve"> </v>
      </c>
      <c r="N11" s="295" t="str">
        <f>J11</f>
        <v xml:space="preserve"> </v>
      </c>
      <c r="T11" s="302" t="s">
        <v>462</v>
      </c>
      <c r="U11" s="286">
        <f>COUNTIF(J10:J85, "licht verontreinigd")</f>
        <v>0</v>
      </c>
      <c r="V11" s="286">
        <f>COUNTIF(N10:N85, "licht verontreinigd")</f>
        <v>0</v>
      </c>
      <c r="W11" s="286"/>
      <c r="X11" s="288">
        <v>15</v>
      </c>
      <c r="Y11" s="295">
        <v>2</v>
      </c>
    </row>
    <row r="12" spans="2:28" x14ac:dyDescent="0.25">
      <c r="B12" s="188" t="str">
        <f>standaardisering!B18</f>
        <v>Cadmium (Cd)</v>
      </c>
      <c r="C12" s="162">
        <f>standaardisering!C18</f>
        <v>0</v>
      </c>
      <c r="D12" s="170">
        <f>standaardisering!I18</f>
        <v>0</v>
      </c>
      <c r="E12" s="162" t="str">
        <f>standaardisering!K18</f>
        <v>mg/kg ds</v>
      </c>
      <c r="F12" s="162">
        <v>0.6</v>
      </c>
      <c r="G12" s="162">
        <v>4</v>
      </c>
      <c r="H12" s="162">
        <v>14</v>
      </c>
      <c r="I12" s="162">
        <v>14</v>
      </c>
      <c r="J12" s="169" t="str">
        <f t="shared" ref="J12:J20" si="1">IF(D12&gt;I12,"sterk verontreinigd",IF(D12&gt;H12,"sterk verontreinigd",IF(D12&gt;G12,"matig verontreinigd",IF(D12&gt;F12,"licht verontreinigd","niet verontreinigd"))))</f>
        <v>niet verontreinigd</v>
      </c>
      <c r="K12" s="288">
        <v>1.2</v>
      </c>
      <c r="L12" s="288">
        <f t="shared" ref="L12:L20" si="2">F12*2</f>
        <v>1.2</v>
      </c>
      <c r="M12" s="288">
        <f t="shared" ref="M12:M25" si="3">SMALL(K12:L12,1)</f>
        <v>1.2</v>
      </c>
      <c r="N12" s="295" t="str">
        <f t="shared" si="0"/>
        <v>niet verontreinigd</v>
      </c>
      <c r="T12" s="302" t="s">
        <v>463</v>
      </c>
      <c r="U12" s="286">
        <f>COUNTIF(J10:J85, "matig verontreinigd")</f>
        <v>0</v>
      </c>
      <c r="V12" s="286">
        <f>COUNTIF(N10:N85, "matig verontreinigd")</f>
        <v>0</v>
      </c>
      <c r="W12" s="286"/>
      <c r="X12" s="288">
        <v>27</v>
      </c>
      <c r="Y12" s="295">
        <v>3</v>
      </c>
    </row>
    <row r="13" spans="2:28" x14ac:dyDescent="0.25">
      <c r="B13" s="188" t="str">
        <f>standaardisering!B19</f>
        <v>Kobalt (Co)</v>
      </c>
      <c r="C13" s="162">
        <f>standaardisering!C19</f>
        <v>0</v>
      </c>
      <c r="D13" s="170">
        <f>standaardisering!I19</f>
        <v>0</v>
      </c>
      <c r="E13" s="162" t="str">
        <f>standaardisering!K19</f>
        <v>mg/kg ds</v>
      </c>
      <c r="F13" s="162">
        <v>15</v>
      </c>
      <c r="G13" s="162">
        <v>25</v>
      </c>
      <c r="H13" s="162">
        <v>240</v>
      </c>
      <c r="I13" s="162">
        <v>240</v>
      </c>
      <c r="J13" s="169" t="str">
        <f t="shared" si="1"/>
        <v>niet verontreinigd</v>
      </c>
      <c r="K13" s="288">
        <v>35</v>
      </c>
      <c r="L13" s="288">
        <f t="shared" si="2"/>
        <v>30</v>
      </c>
      <c r="M13" s="288">
        <f t="shared" si="3"/>
        <v>30</v>
      </c>
      <c r="N13" s="295" t="str">
        <f t="shared" si="0"/>
        <v>niet verontreinigd</v>
      </c>
      <c r="T13" s="302" t="s">
        <v>464</v>
      </c>
      <c r="U13" s="286">
        <f>COUNTIF(J10:J85, "sterk verontreinigd")</f>
        <v>0</v>
      </c>
      <c r="V13" s="286">
        <f>COUNTIF(N10:N85, "sterk verontreinigd")</f>
        <v>0</v>
      </c>
      <c r="W13" s="286"/>
      <c r="X13" s="288">
        <v>36</v>
      </c>
      <c r="Y13" s="295">
        <v>4</v>
      </c>
    </row>
    <row r="14" spans="2:28" x14ac:dyDescent="0.25">
      <c r="B14" s="188" t="str">
        <f>standaardisering!B20</f>
        <v>Koper (Cu)</v>
      </c>
      <c r="C14" s="162">
        <f>standaardisering!C20</f>
        <v>0</v>
      </c>
      <c r="D14" s="170">
        <f>standaardisering!I20</f>
        <v>0</v>
      </c>
      <c r="E14" s="162" t="str">
        <f>standaardisering!K20</f>
        <v>mg/kg ds</v>
      </c>
      <c r="F14" s="162">
        <v>40</v>
      </c>
      <c r="G14" s="162">
        <v>96</v>
      </c>
      <c r="H14" s="162">
        <v>190</v>
      </c>
      <c r="I14" s="162">
        <v>190</v>
      </c>
      <c r="J14" s="169" t="str">
        <f t="shared" si="1"/>
        <v>niet verontreinigd</v>
      </c>
      <c r="K14" s="288">
        <v>54</v>
      </c>
      <c r="L14" s="288">
        <f t="shared" si="2"/>
        <v>80</v>
      </c>
      <c r="M14" s="288">
        <f t="shared" si="3"/>
        <v>54</v>
      </c>
      <c r="N14" s="295" t="str">
        <f t="shared" si="0"/>
        <v>niet verontreinigd</v>
      </c>
      <c r="T14" s="302" t="s">
        <v>469</v>
      </c>
      <c r="U14" s="292">
        <f>SUM(U10:U13)</f>
        <v>47</v>
      </c>
      <c r="V14" s="292">
        <f>SUM(V10:V13)</f>
        <v>47</v>
      </c>
      <c r="W14" s="292"/>
      <c r="X14" s="282" t="s">
        <v>468</v>
      </c>
      <c r="Y14" s="295">
        <v>5</v>
      </c>
    </row>
    <row r="15" spans="2:28" x14ac:dyDescent="0.25">
      <c r="B15" s="188" t="str">
        <f>standaardisering!B21</f>
        <v>Kwik (Hg)</v>
      </c>
      <c r="C15" s="162">
        <f>standaardisering!C21</f>
        <v>0</v>
      </c>
      <c r="D15" s="179">
        <f>standaardisering!I21</f>
        <v>0</v>
      </c>
      <c r="E15" s="162" t="str">
        <f>standaardisering!K21</f>
        <v>mg/kg ds</v>
      </c>
      <c r="F15" s="162">
        <v>0.15</v>
      </c>
      <c r="G15" s="162">
        <v>1.2</v>
      </c>
      <c r="H15" s="162">
        <v>10</v>
      </c>
      <c r="I15" s="162">
        <v>10</v>
      </c>
      <c r="J15" s="169" t="str">
        <f t="shared" si="1"/>
        <v>niet verontreinigd</v>
      </c>
      <c r="K15" s="288">
        <v>0.83</v>
      </c>
      <c r="L15" s="288">
        <f t="shared" si="2"/>
        <v>0.3</v>
      </c>
      <c r="M15" s="288">
        <f t="shared" si="3"/>
        <v>0.3</v>
      </c>
      <c r="N15" s="295" t="str">
        <f t="shared" si="0"/>
        <v>niet verontreinigd</v>
      </c>
      <c r="T15" s="302" t="s">
        <v>476</v>
      </c>
      <c r="U15" s="288" cm="1">
        <f t="array" ref="U15">_xlfn.IFS(U14&gt;36.9,5,U14&gt;26.9,4,U14&gt;15.9,3,U14&gt;6.9,2, U14&gt;1.9,1,TRUE,0)</f>
        <v>5</v>
      </c>
      <c r="V15" s="291"/>
      <c r="W15" s="291"/>
      <c r="Y15" s="295"/>
    </row>
    <row r="16" spans="2:28" ht="13.8" thickBot="1" x14ac:dyDescent="0.3">
      <c r="B16" s="188" t="str">
        <f>standaardisering!B22</f>
        <v>Lood (Pb)</v>
      </c>
      <c r="C16" s="162">
        <f>standaardisering!C22</f>
        <v>0</v>
      </c>
      <c r="D16" s="170">
        <f>standaardisering!I22</f>
        <v>0</v>
      </c>
      <c r="E16" s="162" t="str">
        <f>standaardisering!K22</f>
        <v>mg/kg ds</v>
      </c>
      <c r="F16" s="162">
        <v>50</v>
      </c>
      <c r="G16" s="162">
        <v>138</v>
      </c>
      <c r="H16" s="162">
        <v>580</v>
      </c>
      <c r="I16" s="162">
        <v>580</v>
      </c>
      <c r="J16" s="169" t="str">
        <f t="shared" si="1"/>
        <v>niet verontreinigd</v>
      </c>
      <c r="K16" s="288">
        <v>210</v>
      </c>
      <c r="L16" s="288">
        <f t="shared" si="2"/>
        <v>100</v>
      </c>
      <c r="M16" s="288">
        <f t="shared" si="3"/>
        <v>100</v>
      </c>
      <c r="N16" s="295" t="str">
        <f t="shared" si="0"/>
        <v>niet verontreinigd</v>
      </c>
      <c r="T16" s="304" t="s">
        <v>487</v>
      </c>
      <c r="U16" s="296" t="str" cm="1">
        <f t="array" ref="U16">_xlfn.IFS(U15&gt;U11,V9,U15&lt;U11,U9,U15=U11,V9)</f>
        <v>Niet verontreinigd</v>
      </c>
      <c r="V16" s="296"/>
      <c r="W16" s="296"/>
      <c r="X16" s="296"/>
      <c r="Y16" s="297"/>
    </row>
    <row r="17" spans="2:23" ht="13.8" thickBot="1" x14ac:dyDescent="0.3">
      <c r="B17" s="188" t="str">
        <f>standaardisering!B23</f>
        <v>Molybdeen (Mo)</v>
      </c>
      <c r="C17" s="162">
        <f>standaardisering!C23</f>
        <v>0</v>
      </c>
      <c r="D17" s="170">
        <f>standaardisering!I23</f>
        <v>0</v>
      </c>
      <c r="E17" s="162" t="str">
        <f>standaardisering!K23</f>
        <v>mg/kg ds</v>
      </c>
      <c r="F17" s="162">
        <v>1.5</v>
      </c>
      <c r="G17" s="162">
        <v>5</v>
      </c>
      <c r="H17" s="162">
        <v>200</v>
      </c>
      <c r="I17" s="162">
        <v>200</v>
      </c>
      <c r="J17" s="169" t="str">
        <f t="shared" si="1"/>
        <v>niet verontreinigd</v>
      </c>
      <c r="K17" s="288">
        <v>88</v>
      </c>
      <c r="L17" s="288">
        <f t="shared" si="2"/>
        <v>3</v>
      </c>
      <c r="M17" s="288">
        <f t="shared" si="3"/>
        <v>3</v>
      </c>
      <c r="N17" s="295" t="str">
        <f t="shared" si="0"/>
        <v>niet verontreinigd</v>
      </c>
      <c r="T17" s="282"/>
    </row>
    <row r="18" spans="2:23" x14ac:dyDescent="0.25">
      <c r="B18" s="188" t="str">
        <f>standaardisering!B24</f>
        <v>Nikkel (Ni)</v>
      </c>
      <c r="C18" s="162">
        <f>standaardisering!C24</f>
        <v>0</v>
      </c>
      <c r="D18" s="170">
        <f>standaardisering!I24</f>
        <v>0</v>
      </c>
      <c r="E18" s="162" t="str">
        <f>standaardisering!K24</f>
        <v>mg/kg ds</v>
      </c>
      <c r="F18" s="162">
        <v>35</v>
      </c>
      <c r="G18" s="162">
        <v>50</v>
      </c>
      <c r="H18" s="162">
        <v>210</v>
      </c>
      <c r="I18" s="162">
        <v>210</v>
      </c>
      <c r="J18" s="169" t="str">
        <f t="shared" si="1"/>
        <v>niet verontreinigd</v>
      </c>
      <c r="L18" s="288">
        <f t="shared" si="2"/>
        <v>70</v>
      </c>
      <c r="M18" s="288">
        <f t="shared" si="3"/>
        <v>70</v>
      </c>
      <c r="N18" s="295" t="str">
        <f t="shared" si="0"/>
        <v>niet verontreinigd</v>
      </c>
      <c r="T18" s="298" t="s">
        <v>488</v>
      </c>
      <c r="U18" s="300"/>
    </row>
    <row r="19" spans="2:23" x14ac:dyDescent="0.25">
      <c r="B19" s="188" t="str">
        <f>standaardisering!B25</f>
        <v>Zink (Zn)</v>
      </c>
      <c r="C19" s="162">
        <f>standaardisering!C25</f>
        <v>0</v>
      </c>
      <c r="D19" s="170">
        <f>standaardisering!I25</f>
        <v>0</v>
      </c>
      <c r="E19" s="162" t="str">
        <f>standaardisering!K25</f>
        <v>mg/kg ds</v>
      </c>
      <c r="F19" s="162">
        <v>140</v>
      </c>
      <c r="G19" s="162">
        <v>563</v>
      </c>
      <c r="H19" s="162">
        <v>2000</v>
      </c>
      <c r="I19" s="162">
        <v>2000</v>
      </c>
      <c r="J19" s="169" t="str">
        <f t="shared" si="1"/>
        <v>niet verontreinigd</v>
      </c>
      <c r="K19" s="288">
        <v>200</v>
      </c>
      <c r="L19" s="288">
        <f t="shared" si="2"/>
        <v>280</v>
      </c>
      <c r="M19" s="288">
        <f t="shared" si="3"/>
        <v>200</v>
      </c>
      <c r="N19" s="295" t="str">
        <f t="shared" si="0"/>
        <v>niet verontreinigd</v>
      </c>
      <c r="T19" s="302" t="s">
        <v>485</v>
      </c>
      <c r="U19" s="284">
        <f>COUNTIF(G91:G123, "toepasbaar")</f>
        <v>29</v>
      </c>
    </row>
    <row r="20" spans="2:23" x14ac:dyDescent="0.25">
      <c r="B20" s="188" t="str">
        <f>standaardisering!B26</f>
        <v>Chroom (Cr)</v>
      </c>
      <c r="C20" s="162">
        <f>standaardisering!C26</f>
        <v>0</v>
      </c>
      <c r="D20" s="170">
        <f>standaardisering!I26</f>
        <v>0</v>
      </c>
      <c r="E20" s="162" t="str">
        <f>standaardisering!K26</f>
        <v>mg/kg ds</v>
      </c>
      <c r="F20" s="162">
        <v>55</v>
      </c>
      <c r="G20" s="162">
        <v>120</v>
      </c>
      <c r="H20" s="162">
        <v>380</v>
      </c>
      <c r="I20" s="162">
        <v>380</v>
      </c>
      <c r="J20" s="169" t="str">
        <f t="shared" si="1"/>
        <v>niet verontreinigd</v>
      </c>
      <c r="K20" s="288">
        <v>62</v>
      </c>
      <c r="L20" s="288">
        <f t="shared" si="2"/>
        <v>110</v>
      </c>
      <c r="M20" s="288">
        <f t="shared" si="3"/>
        <v>62</v>
      </c>
      <c r="N20" s="295" t="str">
        <f t="shared" si="0"/>
        <v>niet verontreinigd</v>
      </c>
      <c r="T20" s="302" t="s">
        <v>486</v>
      </c>
      <c r="U20" s="284">
        <f>COUNTIF(G91:G123, "niet toepasbaar")</f>
        <v>0</v>
      </c>
    </row>
    <row r="21" spans="2:23" ht="13.8" thickBot="1" x14ac:dyDescent="0.3">
      <c r="B21" s="188"/>
      <c r="J21" s="169"/>
      <c r="N21" s="295"/>
      <c r="T21" s="304" t="s">
        <v>487</v>
      </c>
      <c r="U21" s="297" t="str" cm="1">
        <f t="array" ref="U21">_xlfn.IFS(U20&gt;0,"Niet toepasbaar","WAAR","Wel toepasbaar")</f>
        <v>Wel toepasbaar</v>
      </c>
      <c r="V21" s="282"/>
      <c r="W21" s="282"/>
    </row>
    <row r="22" spans="2:23" x14ac:dyDescent="0.25">
      <c r="B22" s="187" t="str">
        <f>standaardisering!B28</f>
        <v>Overige anorganische stoffen</v>
      </c>
      <c r="C22" s="162">
        <f>standaardisering!C28</f>
        <v>0</v>
      </c>
      <c r="J22" s="169"/>
      <c r="N22" s="295"/>
    </row>
    <row r="23" spans="2:23" x14ac:dyDescent="0.25">
      <c r="B23" s="188" t="str">
        <f>standaardisering!B29</f>
        <v>cyanide (vrij)</v>
      </c>
      <c r="C23" s="162">
        <f>standaardisering!C29</f>
        <v>0</v>
      </c>
      <c r="D23" s="162">
        <f>standaardisering!I29</f>
        <v>0</v>
      </c>
      <c r="E23" s="162" t="str">
        <f>standaardisering!K29</f>
        <v>mg/kg ds</v>
      </c>
      <c r="F23" s="162">
        <v>3</v>
      </c>
      <c r="H23" s="162">
        <v>20</v>
      </c>
      <c r="I23" s="162">
        <v>20</v>
      </c>
      <c r="J23" s="169" t="str">
        <f>IF(D23&gt;I23,"sterk verontreinigd",IF(D23&gt;H23,"sterk verontreinigd",IF(D23&gt;F23,"matig verontreinigd","niet verontreinigd")))</f>
        <v>niet verontreinigd</v>
      </c>
      <c r="K23" s="288">
        <v>3</v>
      </c>
      <c r="L23" s="288">
        <f>F23*2</f>
        <v>6</v>
      </c>
      <c r="M23" s="288">
        <f t="shared" si="3"/>
        <v>3</v>
      </c>
      <c r="N23" s="295" t="str">
        <f>IF(D23&gt;I23,"sterk verontreinigd",IF(D23&gt;H23,"sterk verontreinigd",IF(D23&gt;M23,"matig verontreinigd","niet verontreinigd")))</f>
        <v>niet verontreinigd</v>
      </c>
    </row>
    <row r="24" spans="2:23" x14ac:dyDescent="0.25">
      <c r="B24" s="188" t="str">
        <f>standaardisering!B30</f>
        <v>cyanide (complex)</v>
      </c>
      <c r="C24" s="162">
        <f>standaardisering!C30</f>
        <v>0</v>
      </c>
      <c r="D24" s="162">
        <f>standaardisering!I30</f>
        <v>0</v>
      </c>
      <c r="E24" s="162" t="str">
        <f>standaardisering!K30</f>
        <v>mg/kg ds</v>
      </c>
      <c r="F24" s="162">
        <v>5.5</v>
      </c>
      <c r="H24" s="162">
        <v>50</v>
      </c>
      <c r="I24" s="162">
        <v>50</v>
      </c>
      <c r="J24" s="169" t="str">
        <f>IF(D24&gt;I24,"sterk verontreinigd",IF(D24&gt;H24,"sterk verontreinigd",IF(D24&gt;F24,"matig verontreinigd","niet verontreinigd")))</f>
        <v>niet verontreinigd</v>
      </c>
      <c r="K24" s="288">
        <v>5.5</v>
      </c>
      <c r="L24" s="288">
        <f>F24*2</f>
        <v>11</v>
      </c>
      <c r="M24" s="288">
        <f t="shared" si="3"/>
        <v>5.5</v>
      </c>
      <c r="N24" s="295" t="str">
        <f t="shared" ref="N24:N25" si="4">IF(C24&gt;H24,"sterk verontreinigd",IF(C24&gt;G24,"sterk verontreinigd",IF(C24&gt;E24,"matig verontreinigd","niet verontreinigd")))</f>
        <v>niet verontreinigd</v>
      </c>
    </row>
    <row r="25" spans="2:23" x14ac:dyDescent="0.25">
      <c r="B25" s="188" t="str">
        <f>standaardisering!B31</f>
        <v>Thiocyanaten</v>
      </c>
      <c r="C25" s="162">
        <f>standaardisering!C31</f>
        <v>0</v>
      </c>
      <c r="D25" s="162">
        <f>standaardisering!I31</f>
        <v>0</v>
      </c>
      <c r="E25" s="162" t="str">
        <f>standaardisering!K31</f>
        <v>mg/kg ds</v>
      </c>
      <c r="F25" s="162">
        <v>6</v>
      </c>
      <c r="H25" s="162">
        <v>20</v>
      </c>
      <c r="I25" s="162">
        <v>20</v>
      </c>
      <c r="J25" s="169" t="str">
        <f>IF(D25&gt;I25,"sterk verontreinigd",IF(D25&gt;H25,"sterk verontreinigd",IF(D25&gt;F25,"matig verontreinigd","niet verontreinigd")))</f>
        <v>niet verontreinigd</v>
      </c>
      <c r="K25" s="288">
        <v>6</v>
      </c>
      <c r="L25" s="288">
        <f>F25*2</f>
        <v>12</v>
      </c>
      <c r="M25" s="288">
        <f t="shared" si="3"/>
        <v>6</v>
      </c>
      <c r="N25" s="295" t="str">
        <f t="shared" si="4"/>
        <v>niet verontreinigd</v>
      </c>
    </row>
    <row r="26" spans="2:23" x14ac:dyDescent="0.25">
      <c r="B26" s="188"/>
      <c r="J26" s="169"/>
      <c r="N26" s="295"/>
    </row>
    <row r="27" spans="2:23" x14ac:dyDescent="0.25">
      <c r="B27" s="187" t="str">
        <f>standaardisering!B33</f>
        <v>Asbest</v>
      </c>
      <c r="C27" s="162">
        <f>standaardisering!C33</f>
        <v>0</v>
      </c>
      <c r="D27" s="162">
        <f>standaardisering!I33</f>
        <v>0</v>
      </c>
      <c r="E27" s="162" t="str">
        <f>standaardisering!K33</f>
        <v>mg/kg ds</v>
      </c>
      <c r="G27" s="162">
        <v>100</v>
      </c>
      <c r="H27" s="162">
        <v>100</v>
      </c>
      <c r="I27" s="162">
        <v>100</v>
      </c>
      <c r="J27" s="169" t="str">
        <f>IF(D27&gt;I27,"sterk verontreinigd"," ")</f>
        <v xml:space="preserve"> </v>
      </c>
      <c r="N27" s="295"/>
    </row>
    <row r="28" spans="2:23" x14ac:dyDescent="0.25">
      <c r="B28" s="188"/>
      <c r="J28" s="169"/>
      <c r="N28" s="295"/>
    </row>
    <row r="29" spans="2:23" x14ac:dyDescent="0.25">
      <c r="B29" s="187" t="str">
        <f>standaardisering!B35</f>
        <v>PAK10</v>
      </c>
      <c r="C29" s="162">
        <f>standaardisering!C35</f>
        <v>0</v>
      </c>
      <c r="J29" s="169"/>
      <c r="N29" s="295"/>
    </row>
    <row r="30" spans="2:23" x14ac:dyDescent="0.25">
      <c r="B30" s="188" t="str">
        <f>standaardisering!B36</f>
        <v>Naftaleen</v>
      </c>
      <c r="C30" s="162">
        <f>standaardisering!C36</f>
        <v>0</v>
      </c>
      <c r="D30" s="179">
        <f>standaardisering!I36</f>
        <v>0</v>
      </c>
      <c r="E30" s="162" t="str">
        <f>standaardisering!K36</f>
        <v>mg/kg ds</v>
      </c>
      <c r="J30" s="169"/>
      <c r="N30" s="295"/>
    </row>
    <row r="31" spans="2:23" x14ac:dyDescent="0.25">
      <c r="B31" s="188" t="str">
        <f>standaardisering!B37</f>
        <v>Antraceen</v>
      </c>
      <c r="C31" s="162">
        <f>standaardisering!C37</f>
        <v>0</v>
      </c>
      <c r="D31" s="179">
        <f>standaardisering!I37</f>
        <v>0</v>
      </c>
      <c r="E31" s="162" t="str">
        <f>standaardisering!K37</f>
        <v>mg/kg ds</v>
      </c>
      <c r="J31" s="169"/>
      <c r="N31" s="295"/>
    </row>
    <row r="32" spans="2:23" x14ac:dyDescent="0.25">
      <c r="B32" s="188" t="str">
        <f>standaardisering!B38</f>
        <v>Fenantreen</v>
      </c>
      <c r="C32" s="162">
        <f>standaardisering!C38</f>
        <v>0</v>
      </c>
      <c r="D32" s="179">
        <f>standaardisering!I38</f>
        <v>0</v>
      </c>
      <c r="E32" s="162" t="str">
        <f>standaardisering!K38</f>
        <v>mg/kg ds</v>
      </c>
      <c r="J32" s="169"/>
      <c r="N32" s="295"/>
    </row>
    <row r="33" spans="2:14" x14ac:dyDescent="0.25">
      <c r="B33" s="188" t="str">
        <f>standaardisering!B39</f>
        <v>Fluoranteen</v>
      </c>
      <c r="C33" s="162">
        <f>standaardisering!C39</f>
        <v>0</v>
      </c>
      <c r="D33" s="179">
        <f>standaardisering!I39</f>
        <v>0</v>
      </c>
      <c r="E33" s="162" t="str">
        <f>standaardisering!K39</f>
        <v>mg/kg ds</v>
      </c>
      <c r="J33" s="169"/>
      <c r="N33" s="295"/>
    </row>
    <row r="34" spans="2:14" x14ac:dyDescent="0.25">
      <c r="B34" s="188" t="str">
        <f>standaardisering!B40</f>
        <v>Benzo(a)anthraceen</v>
      </c>
      <c r="C34" s="162">
        <f>standaardisering!C40</f>
        <v>0</v>
      </c>
      <c r="D34" s="179">
        <f>standaardisering!I40</f>
        <v>0</v>
      </c>
      <c r="E34" s="162" t="str">
        <f>standaardisering!K40</f>
        <v>mg/kg ds</v>
      </c>
      <c r="J34" s="169"/>
      <c r="N34" s="295"/>
    </row>
    <row r="35" spans="2:14" x14ac:dyDescent="0.25">
      <c r="B35" s="188" t="str">
        <f>standaardisering!B41</f>
        <v>Chryseen</v>
      </c>
      <c r="C35" s="162">
        <f>standaardisering!C41</f>
        <v>0</v>
      </c>
      <c r="D35" s="179">
        <f>standaardisering!I41</f>
        <v>0</v>
      </c>
      <c r="E35" s="162" t="str">
        <f>standaardisering!K41</f>
        <v>mg/kg ds</v>
      </c>
      <c r="J35" s="169"/>
      <c r="N35" s="295"/>
    </row>
    <row r="36" spans="2:14" x14ac:dyDescent="0.25">
      <c r="B36" s="188" t="str">
        <f>standaardisering!B42</f>
        <v>Benzo(k)fluorantheen</v>
      </c>
      <c r="C36" s="162">
        <f>standaardisering!C42</f>
        <v>0</v>
      </c>
      <c r="D36" s="179">
        <f>standaardisering!I42</f>
        <v>0</v>
      </c>
      <c r="E36" s="162" t="str">
        <f>standaardisering!K42</f>
        <v>mg/kg ds</v>
      </c>
      <c r="J36" s="169"/>
      <c r="N36" s="295"/>
    </row>
    <row r="37" spans="2:14" x14ac:dyDescent="0.25">
      <c r="B37" s="188" t="str">
        <f>standaardisering!B43</f>
        <v>Benzo(a)pyreen</v>
      </c>
      <c r="C37" s="162">
        <f>standaardisering!C43</f>
        <v>0</v>
      </c>
      <c r="D37" s="179">
        <f>standaardisering!I43</f>
        <v>0</v>
      </c>
      <c r="E37" s="162" t="str">
        <f>standaardisering!K43</f>
        <v>mg/kg ds</v>
      </c>
      <c r="J37" s="169"/>
      <c r="N37" s="295"/>
    </row>
    <row r="38" spans="2:14" x14ac:dyDescent="0.25">
      <c r="B38" s="188" t="str">
        <f>standaardisering!B44</f>
        <v>Benzo(ghi)peryleen</v>
      </c>
      <c r="C38" s="162">
        <f>standaardisering!C44</f>
        <v>0</v>
      </c>
      <c r="D38" s="179">
        <f>standaardisering!I44</f>
        <v>0</v>
      </c>
      <c r="E38" s="162" t="str">
        <f>standaardisering!K44</f>
        <v>mg/kg ds</v>
      </c>
      <c r="J38" s="169"/>
      <c r="N38" s="295"/>
    </row>
    <row r="39" spans="2:14" x14ac:dyDescent="0.25">
      <c r="B39" s="188" t="str">
        <f>standaardisering!B45</f>
        <v>Indeen(1,2,3-cd)pyreen</v>
      </c>
      <c r="C39" s="162">
        <f>standaardisering!C45</f>
        <v>0</v>
      </c>
      <c r="D39" s="179">
        <f>standaardisering!I45</f>
        <v>0</v>
      </c>
      <c r="E39" s="162" t="str">
        <f>standaardisering!K45</f>
        <v>mg/kg ds</v>
      </c>
      <c r="J39" s="169"/>
      <c r="N39" s="295"/>
    </row>
    <row r="40" spans="2:14" x14ac:dyDescent="0.25">
      <c r="B40" s="188" t="str">
        <f>standaardisering!B46</f>
        <v>PAK (10 som)</v>
      </c>
      <c r="C40" s="162">
        <f>standaardisering!C46</f>
        <v>0</v>
      </c>
      <c r="D40" s="179">
        <f>standaardisering!I46</f>
        <v>0</v>
      </c>
      <c r="E40" s="162" t="str">
        <f>standaardisering!K46</f>
        <v>mg/kg ds</v>
      </c>
      <c r="F40" s="162">
        <v>1.5</v>
      </c>
      <c r="G40" s="162">
        <v>9</v>
      </c>
      <c r="H40" s="162">
        <v>40</v>
      </c>
      <c r="I40" s="162">
        <v>40</v>
      </c>
      <c r="J40" s="169" t="str">
        <f>IF(D40&gt;I40,"sterk verontreinigd",IF(D40&gt;H40,"sterk verontreinigd",IF(D40&gt;G40,"matig verontreinigd",IF(D40&gt;F40,"licht verontreinigd","niet verontreinigd"))))</f>
        <v>niet verontreinigd</v>
      </c>
      <c r="K40" s="288">
        <v>6.8</v>
      </c>
      <c r="L40" s="288">
        <f>F40*2</f>
        <v>3</v>
      </c>
      <c r="M40" s="288">
        <f t="shared" ref="M40:M85" si="5">SMALL(K40:L40,1)</f>
        <v>3</v>
      </c>
      <c r="N40" s="295" t="str">
        <f>IF(D40&gt;I40,"sterk verontreinigd",IF(D40&gt;H40,"sterk verontreinigd",IF(D40&gt;G40,"matig verontreinigd",IF(D40&gt;M40,"licht verontreinigd","niet verontreinigd"))))</f>
        <v>niet verontreinigd</v>
      </c>
    </row>
    <row r="41" spans="2:14" x14ac:dyDescent="0.25">
      <c r="B41" s="188"/>
      <c r="J41" s="169"/>
      <c r="N41" s="295"/>
    </row>
    <row r="42" spans="2:14" x14ac:dyDescent="0.25">
      <c r="B42" s="187" t="str">
        <f>standaardisering!B48</f>
        <v>Minerale olie</v>
      </c>
      <c r="C42" s="162">
        <f>standaardisering!C48</f>
        <v>0</v>
      </c>
      <c r="D42" s="170">
        <f>standaardisering!I48</f>
        <v>0</v>
      </c>
      <c r="E42" s="162" t="str">
        <f>standaardisering!K48</f>
        <v>mg/kg ds</v>
      </c>
      <c r="F42" s="162">
        <v>190</v>
      </c>
      <c r="G42" s="162">
        <v>1250</v>
      </c>
      <c r="H42" s="162">
        <v>5000</v>
      </c>
      <c r="I42" s="162">
        <v>5000</v>
      </c>
      <c r="J42" s="169" t="str">
        <f>IF(D42&gt;I42,"sterk verontreinigd",IF(D42&gt;H42,"sterk verontreinigd",IF(D42&gt;G42,"matig verontreinigd",IF(D42&gt;F42,"licht verontreinigd","niet verontreinigd"))))</f>
        <v>niet verontreinigd</v>
      </c>
      <c r="K42" s="288">
        <v>190</v>
      </c>
      <c r="L42" s="288">
        <f>F42*2</f>
        <v>380</v>
      </c>
      <c r="M42" s="288">
        <f t="shared" si="5"/>
        <v>190</v>
      </c>
      <c r="N42" s="295" t="str">
        <f>IF(D42&gt;I42,"sterk verontreinigd",IF(D42&gt;H42,"sterk verontreinigd",IF(D42&gt;G42,"matig verontreinigd",IF(D42&gt;M42,"licht verontreinigd","niet verontreinigd"))))</f>
        <v>niet verontreinigd</v>
      </c>
    </row>
    <row r="43" spans="2:14" x14ac:dyDescent="0.25">
      <c r="B43" s="188"/>
      <c r="J43" s="169"/>
      <c r="N43" s="295"/>
    </row>
    <row r="44" spans="2:14" x14ac:dyDescent="0.25">
      <c r="B44" s="187" t="str">
        <f>standaardisering!B50</f>
        <v>Gechloreerde koolwaterstoffen</v>
      </c>
      <c r="C44" s="162">
        <f>standaardisering!C50</f>
        <v>0</v>
      </c>
      <c r="J44" s="169"/>
      <c r="N44" s="295"/>
    </row>
    <row r="45" spans="2:14" x14ac:dyDescent="0.25">
      <c r="B45" s="188" t="str">
        <f>standaardisering!B51</f>
        <v>PCB28</v>
      </c>
      <c r="C45" s="162">
        <f>standaardisering!C51</f>
        <v>0</v>
      </c>
      <c r="D45" s="181">
        <f>standaardisering!I51</f>
        <v>0</v>
      </c>
      <c r="E45" s="162" t="str">
        <f>standaardisering!K51</f>
        <v>mg/kg ds</v>
      </c>
      <c r="F45" s="162">
        <v>1.5E-3</v>
      </c>
      <c r="G45" s="162">
        <v>1.4E-2</v>
      </c>
      <c r="J45" s="169" t="str">
        <f t="shared" ref="J45:J51" si="6">IF(D45&gt;G45,"matig verontreinigd",IF(D45&gt;F45,"licht verontreinigd","niet verontreinigd"))</f>
        <v>niet verontreinigd</v>
      </c>
      <c r="L45" s="288">
        <f t="shared" ref="L45:L57" si="7">F45*2</f>
        <v>3.0000000000000001E-3</v>
      </c>
      <c r="M45" s="288">
        <f t="shared" si="5"/>
        <v>3.0000000000000001E-3</v>
      </c>
      <c r="N45" s="295" t="str">
        <f>IF(D45&gt;G45,"matig verontreinigd",IF(D45&gt;M45,"licht verontreinigd","niet verontreinigd"))</f>
        <v>niet verontreinigd</v>
      </c>
    </row>
    <row r="46" spans="2:14" x14ac:dyDescent="0.25">
      <c r="B46" s="188" t="str">
        <f>standaardisering!B52</f>
        <v>PCB52</v>
      </c>
      <c r="C46" s="162">
        <f>standaardisering!C52</f>
        <v>0</v>
      </c>
      <c r="D46" s="181">
        <f>standaardisering!I52</f>
        <v>0</v>
      </c>
      <c r="E46" s="162" t="str">
        <f>standaardisering!K52</f>
        <v>mg/kg ds</v>
      </c>
      <c r="F46" s="162">
        <v>2E-3</v>
      </c>
      <c r="G46" s="162">
        <v>1.4999999999999999E-2</v>
      </c>
      <c r="J46" s="169" t="str">
        <f t="shared" si="6"/>
        <v>niet verontreinigd</v>
      </c>
      <c r="L46" s="288">
        <f t="shared" si="7"/>
        <v>4.0000000000000001E-3</v>
      </c>
      <c r="M46" s="288">
        <f t="shared" si="5"/>
        <v>4.0000000000000001E-3</v>
      </c>
      <c r="N46" s="295" t="str">
        <f t="shared" ref="N46:N51" si="8">IF(D46&gt;G46,"matig verontreinigd",IF(D46&gt;M46,"licht verontreinigd","niet verontreinigd"))</f>
        <v>niet verontreinigd</v>
      </c>
    </row>
    <row r="47" spans="2:14" x14ac:dyDescent="0.25">
      <c r="B47" s="188" t="str">
        <f>standaardisering!B53</f>
        <v>PCB101</v>
      </c>
      <c r="C47" s="162">
        <f>standaardisering!C53</f>
        <v>0</v>
      </c>
      <c r="D47" s="181">
        <f>standaardisering!I53</f>
        <v>0</v>
      </c>
      <c r="E47" s="162" t="str">
        <f>standaardisering!K53</f>
        <v>mg/kg ds</v>
      </c>
      <c r="F47" s="162">
        <v>1.5E-3</v>
      </c>
      <c r="G47" s="162">
        <v>2.3E-2</v>
      </c>
      <c r="J47" s="169" t="str">
        <f t="shared" si="6"/>
        <v>niet verontreinigd</v>
      </c>
      <c r="L47" s="288">
        <f t="shared" si="7"/>
        <v>3.0000000000000001E-3</v>
      </c>
      <c r="M47" s="288">
        <f t="shared" si="5"/>
        <v>3.0000000000000001E-3</v>
      </c>
      <c r="N47" s="295" t="str">
        <f t="shared" si="8"/>
        <v>niet verontreinigd</v>
      </c>
    </row>
    <row r="48" spans="2:14" x14ac:dyDescent="0.25">
      <c r="B48" s="188" t="str">
        <f>standaardisering!B54</f>
        <v>PCB118</v>
      </c>
      <c r="C48" s="162">
        <f>standaardisering!C54</f>
        <v>0</v>
      </c>
      <c r="D48" s="181">
        <f>standaardisering!I54</f>
        <v>0</v>
      </c>
      <c r="E48" s="162" t="str">
        <f>standaardisering!K54</f>
        <v>mg/kg ds</v>
      </c>
      <c r="F48" s="162">
        <v>4.4999999999999997E-3</v>
      </c>
      <c r="G48" s="162">
        <v>1.6E-2</v>
      </c>
      <c r="J48" s="169" t="str">
        <f t="shared" si="6"/>
        <v>niet verontreinigd</v>
      </c>
      <c r="L48" s="288">
        <f t="shared" si="7"/>
        <v>8.9999999999999993E-3</v>
      </c>
      <c r="M48" s="288">
        <f t="shared" si="5"/>
        <v>8.9999999999999993E-3</v>
      </c>
      <c r="N48" s="295" t="str">
        <f t="shared" si="8"/>
        <v>niet verontreinigd</v>
      </c>
    </row>
    <row r="49" spans="2:14" x14ac:dyDescent="0.25">
      <c r="B49" s="188" t="str">
        <f>standaardisering!B55</f>
        <v>PCB138</v>
      </c>
      <c r="C49" s="162">
        <f>standaardisering!C55</f>
        <v>0</v>
      </c>
      <c r="D49" s="181">
        <f>standaardisering!I55</f>
        <v>0</v>
      </c>
      <c r="E49" s="162" t="str">
        <f>standaardisering!K55</f>
        <v>mg/kg ds</v>
      </c>
      <c r="F49" s="162">
        <v>4.0000000000000001E-3</v>
      </c>
      <c r="G49" s="162">
        <v>2.7E-2</v>
      </c>
      <c r="J49" s="169" t="str">
        <f t="shared" si="6"/>
        <v>niet verontreinigd</v>
      </c>
      <c r="L49" s="288">
        <f t="shared" si="7"/>
        <v>8.0000000000000002E-3</v>
      </c>
      <c r="M49" s="288">
        <f t="shared" si="5"/>
        <v>8.0000000000000002E-3</v>
      </c>
      <c r="N49" s="295" t="str">
        <f t="shared" si="8"/>
        <v>niet verontreinigd</v>
      </c>
    </row>
    <row r="50" spans="2:14" x14ac:dyDescent="0.25">
      <c r="B50" s="188" t="str">
        <f>standaardisering!B56</f>
        <v>PCB153</v>
      </c>
      <c r="C50" s="162">
        <f>standaardisering!C56</f>
        <v>0</v>
      </c>
      <c r="D50" s="181">
        <f>standaardisering!I56</f>
        <v>0</v>
      </c>
      <c r="E50" s="162" t="str">
        <f>standaardisering!K56</f>
        <v>mg/kg ds</v>
      </c>
      <c r="F50" s="162">
        <v>3.5000000000000001E-3</v>
      </c>
      <c r="G50" s="162">
        <v>3.3000000000000002E-2</v>
      </c>
      <c r="J50" s="169" t="str">
        <f t="shared" si="6"/>
        <v>niet verontreinigd</v>
      </c>
      <c r="L50" s="288">
        <f t="shared" si="7"/>
        <v>7.0000000000000001E-3</v>
      </c>
      <c r="M50" s="288">
        <f t="shared" si="5"/>
        <v>7.0000000000000001E-3</v>
      </c>
      <c r="N50" s="295" t="str">
        <f t="shared" si="8"/>
        <v>niet verontreinigd</v>
      </c>
    </row>
    <row r="51" spans="2:14" x14ac:dyDescent="0.25">
      <c r="B51" s="188" t="str">
        <f>standaardisering!B57</f>
        <v>PCB180</v>
      </c>
      <c r="C51" s="162">
        <f>standaardisering!C57</f>
        <v>0</v>
      </c>
      <c r="D51" s="181">
        <f>standaardisering!I57</f>
        <v>0</v>
      </c>
      <c r="E51" s="162" t="str">
        <f>standaardisering!K57</f>
        <v>mg/kg ds</v>
      </c>
      <c r="F51" s="162">
        <v>2.5000000000000001E-3</v>
      </c>
      <c r="G51" s="162">
        <v>1.7999999999999999E-2</v>
      </c>
      <c r="J51" s="169" t="str">
        <f t="shared" si="6"/>
        <v>niet verontreinigd</v>
      </c>
      <c r="L51" s="288">
        <f t="shared" si="7"/>
        <v>5.0000000000000001E-3</v>
      </c>
      <c r="M51" s="288">
        <f t="shared" si="5"/>
        <v>5.0000000000000001E-3</v>
      </c>
      <c r="N51" s="295" t="str">
        <f t="shared" si="8"/>
        <v>niet verontreinigd</v>
      </c>
    </row>
    <row r="52" spans="2:14" x14ac:dyDescent="0.25">
      <c r="B52" s="188" t="str">
        <f>standaardisering!B58</f>
        <v>PCBs (som 7)</v>
      </c>
      <c r="C52" s="162">
        <f>standaardisering!C58</f>
        <v>0</v>
      </c>
      <c r="D52" s="162">
        <f>standaardisering!I58</f>
        <v>0</v>
      </c>
      <c r="E52" s="162" t="str">
        <f>standaardisering!K58</f>
        <v>mg/kg ds</v>
      </c>
      <c r="F52" s="162">
        <v>0.02</v>
      </c>
      <c r="G52" s="162">
        <v>0.13900000000000001</v>
      </c>
      <c r="H52" s="162">
        <v>1</v>
      </c>
      <c r="I52" s="162">
        <v>1</v>
      </c>
      <c r="J52" s="169" t="str">
        <f>IF(D52&gt;I52,"sterk verontreinigd",IF(D52&gt;H52,"sterk verontreinigd",IF(D52&gt;F52,"matig verontreinigd","niet verontreinigd")))</f>
        <v>niet verontreinigd</v>
      </c>
      <c r="K52" s="288">
        <v>0.04</v>
      </c>
      <c r="L52" s="288">
        <f t="shared" si="7"/>
        <v>0.04</v>
      </c>
      <c r="M52" s="288">
        <f t="shared" si="5"/>
        <v>0.04</v>
      </c>
      <c r="N52" s="295" t="str">
        <f>IF(D52&gt;I52,"sterk verontreinigd",IF(D52&gt;H52,"sterk verontreinigd",IF(D52&gt;G52,"matig verontreinigd",IF(D52&gt;M52,"licht verontreinigd","niet verontreinigd"))))</f>
        <v>niet verontreinigd</v>
      </c>
    </row>
    <row r="53" spans="2:14" x14ac:dyDescent="0.25">
      <c r="B53" s="188" t="str">
        <f>standaardisering!B59</f>
        <v>Chloorbenzenen (som)</v>
      </c>
      <c r="C53" s="162">
        <f>standaardisering!C59</f>
        <v>0</v>
      </c>
      <c r="D53" s="181">
        <f>standaardisering!I59</f>
        <v>0</v>
      </c>
      <c r="E53" s="162" t="str">
        <f>standaardisering!K59</f>
        <v>mg/kg ds</v>
      </c>
      <c r="F53" s="162">
        <v>2</v>
      </c>
      <c r="H53" s="162">
        <v>30</v>
      </c>
      <c r="I53" s="162">
        <v>30</v>
      </c>
      <c r="J53" s="169" t="str">
        <f>IF(D53&gt;I53,"sterk verontreinigd",IF(D53&gt;H53,"sterk verontreinigd",IF(D53&gt;F53,"matig verontreinigd","niet verontreinigd")))</f>
        <v>niet verontreinigd</v>
      </c>
      <c r="L53" s="288">
        <f t="shared" si="7"/>
        <v>4</v>
      </c>
      <c r="M53" s="288">
        <f t="shared" si="5"/>
        <v>4</v>
      </c>
      <c r="N53" s="295" t="str">
        <f>IF(D53&gt;I53,"sterk verontreinigd",IF(D53&gt;H53,"sterk verontreinigd",IF(D53&gt;M53,"matig verontreinigd","niet verontreinigd")))</f>
        <v>niet verontreinigd</v>
      </c>
    </row>
    <row r="54" spans="2:14" x14ac:dyDescent="0.25">
      <c r="B54" s="188" t="str">
        <f>standaardisering!B60</f>
        <v>Pentachloorbenzeen</v>
      </c>
      <c r="C54" s="162">
        <f>standaardisering!C60</f>
        <v>0</v>
      </c>
      <c r="D54" s="181">
        <f>standaardisering!I60</f>
        <v>0</v>
      </c>
      <c r="E54" s="162" t="str">
        <f>standaardisering!K60</f>
        <v>mg/kg ds</v>
      </c>
      <c r="F54" s="162">
        <v>2.5000000000000001E-3</v>
      </c>
      <c r="G54" s="162">
        <v>7.0000000000000001E-3</v>
      </c>
      <c r="J54" s="169" t="str">
        <f>IF(D54&gt;G54,"matig verontreinigd",IF(D54&gt;F54,"licht verontreinigd","niet verontreinigd"))</f>
        <v>niet verontreinigd</v>
      </c>
      <c r="K54" s="288">
        <v>2.5000000000000001E-3</v>
      </c>
      <c r="L54" s="288">
        <f t="shared" si="7"/>
        <v>5.0000000000000001E-3</v>
      </c>
      <c r="M54" s="288">
        <f t="shared" si="5"/>
        <v>2.5000000000000001E-3</v>
      </c>
      <c r="N54" s="295" t="str">
        <f>IF(D54&gt;G54,"matig verontreinigd",IF(D54&gt;M54,"licht verontreinigd","niet verontreinigd"))</f>
        <v>niet verontreinigd</v>
      </c>
    </row>
    <row r="55" spans="2:14" x14ac:dyDescent="0.25">
      <c r="B55" s="188" t="str">
        <f>standaardisering!B61</f>
        <v>Hexachloorbenzeen</v>
      </c>
      <c r="C55" s="162">
        <f>standaardisering!C61</f>
        <v>0</v>
      </c>
      <c r="D55" s="181">
        <f>standaardisering!I61</f>
        <v>0</v>
      </c>
      <c r="E55" s="162" t="str">
        <f>standaardisering!K61</f>
        <v>mg/kg ds</v>
      </c>
      <c r="F55" s="162">
        <v>8.5000000000000006E-3</v>
      </c>
      <c r="G55" s="162">
        <v>4.3999999999999997E-2</v>
      </c>
      <c r="J55" s="169" t="str">
        <f>IF(D55&gt;G55,"matig verontreinigd",IF(D55&gt;F55,"licht verontreinigd","niet verontreinigd"))</f>
        <v>niet verontreinigd</v>
      </c>
      <c r="K55" s="288">
        <v>2.7E-2</v>
      </c>
      <c r="L55" s="288">
        <f t="shared" si="7"/>
        <v>1.7000000000000001E-2</v>
      </c>
      <c r="M55" s="288">
        <f t="shared" si="5"/>
        <v>1.7000000000000001E-2</v>
      </c>
      <c r="N55" s="295" t="str">
        <f>IF(D55&gt;G55,"matig verontreinigd",IF(D55&gt;M55,"licht verontreinigd","niet verontreinigd"))</f>
        <v>niet verontreinigd</v>
      </c>
    </row>
    <row r="56" spans="2:14" x14ac:dyDescent="0.25">
      <c r="B56" s="188" t="str">
        <f>standaardisering!B62</f>
        <v>chloorfenolen (som)</v>
      </c>
      <c r="C56" s="162">
        <f>standaardisering!C62</f>
        <v>0</v>
      </c>
      <c r="D56" s="181">
        <f>standaardisering!I62</f>
        <v>0</v>
      </c>
      <c r="E56" s="162" t="str">
        <f>standaardisering!K62</f>
        <v>mg/kg ds</v>
      </c>
      <c r="F56" s="162">
        <v>0.2</v>
      </c>
      <c r="H56" s="162">
        <v>10</v>
      </c>
      <c r="I56" s="162">
        <v>10</v>
      </c>
      <c r="J56" s="169" t="str">
        <f>IF(D56&gt;I56,"sterk verontreinigd",IF(D56&gt;H56,"sterk verontreinigd",IF(D56&gt;F56,"matig verontreinigd","niet verontreinigd")))</f>
        <v>niet verontreinigd</v>
      </c>
      <c r="L56" s="288">
        <f t="shared" si="7"/>
        <v>0.4</v>
      </c>
      <c r="M56" s="288">
        <f t="shared" si="5"/>
        <v>0.4</v>
      </c>
      <c r="N56" s="295" t="str">
        <f>IF(D56&gt;I56,"sterk verontreinigd",IF(D56&gt;H56,"sterk verontreinigd",IF(D56&gt;G56,"matig verontreinigd",IF(D56&gt;M56,"licht verontreinigd","niet verontreinigd"))))</f>
        <v>niet verontreinigd</v>
      </c>
    </row>
    <row r="57" spans="2:14" x14ac:dyDescent="0.25">
      <c r="B57" s="188" t="str">
        <f>standaardisering!B63</f>
        <v>Pentachloorfenol en de zouten en esters daarvan</v>
      </c>
      <c r="C57" s="162">
        <f>standaardisering!C63</f>
        <v>0</v>
      </c>
      <c r="D57" s="181">
        <f>standaardisering!I63</f>
        <v>0</v>
      </c>
      <c r="E57" s="162" t="str">
        <f>standaardisering!K63</f>
        <v>mg/kg ds</v>
      </c>
      <c r="F57" s="162">
        <v>3.0000000000000001E-3</v>
      </c>
      <c r="G57" s="162">
        <v>0.16</v>
      </c>
      <c r="H57" s="162">
        <v>5</v>
      </c>
      <c r="I57" s="162">
        <v>5</v>
      </c>
      <c r="J57" s="169" t="str">
        <f>IF(D57&gt;I57,"sterk verontreinigd",IF(D57&gt;H57,"sterk verontreinigd",IF(D57&gt;G57,"matig verontreinigd",IF(D57&gt;F57,"licht verontreinigd","niet verontreinigd"))))</f>
        <v>niet verontreinigd</v>
      </c>
      <c r="K57" s="288">
        <v>1.4</v>
      </c>
      <c r="L57" s="288">
        <f t="shared" si="7"/>
        <v>6.0000000000000001E-3</v>
      </c>
      <c r="M57" s="288">
        <f t="shared" si="5"/>
        <v>6.0000000000000001E-3</v>
      </c>
      <c r="N57" s="295" t="str">
        <f>IF(D57&gt;I57,"sterk verontreinigd",IF(D57&gt;H57,"sterk verontreinigd",IF(D57&gt;G57,"matig verontreinigd",IF(D57&gt;M57,"licht verontreinigd","niet verontreinigd"))))</f>
        <v>niet verontreinigd</v>
      </c>
    </row>
    <row r="58" spans="2:14" x14ac:dyDescent="0.25">
      <c r="B58" s="188"/>
      <c r="J58" s="169"/>
      <c r="N58" s="295"/>
    </row>
    <row r="59" spans="2:14" x14ac:dyDescent="0.25">
      <c r="B59" s="187" t="str">
        <f>standaardisering!B65</f>
        <v xml:space="preserve">Bestrijdingsmiddelen </v>
      </c>
      <c r="C59" s="162" t="str">
        <f>standaardisering!C65</f>
        <v>rapportagegrens</v>
      </c>
      <c r="J59" s="169"/>
      <c r="N59" s="295"/>
    </row>
    <row r="60" spans="2:14" x14ac:dyDescent="0.25">
      <c r="B60" s="188" t="str">
        <f>standaardisering!B66</f>
        <v>Chloordaan (chloordaan (som) kan hiervoor worden ingevuld)</v>
      </c>
      <c r="C60" s="162">
        <f>standaardisering!C66</f>
        <v>0</v>
      </c>
      <c r="D60" s="179">
        <f>standaardisering!I66</f>
        <v>0</v>
      </c>
      <c r="E60" s="162" t="str">
        <f>standaardisering!K66</f>
        <v>mg/kg ds</v>
      </c>
      <c r="F60" s="162">
        <v>2E-3</v>
      </c>
      <c r="H60" s="162">
        <v>4</v>
      </c>
      <c r="I60" s="162">
        <v>4</v>
      </c>
      <c r="J60" s="169" t="str">
        <f>IF(D60&gt;I60,"sterk verontreinigd",IF(D60&gt;H60,"sterk verontreinigd",IF(D60&gt;F60,"matig verontreinigd","niet verontreinigd")))</f>
        <v>niet verontreinigd</v>
      </c>
      <c r="K60" s="288">
        <v>2E-3</v>
      </c>
      <c r="L60" s="288">
        <f>F60*2</f>
        <v>4.0000000000000001E-3</v>
      </c>
      <c r="M60" s="288">
        <f t="shared" si="5"/>
        <v>2E-3</v>
      </c>
      <c r="N60" s="295" t="str">
        <f>IF(D60&gt;I60,"sterk verontreinigd",IF(D60&gt;H60,"sterk verontreinigd",IF(D60&gt;M60,"matig verontreinigd","niet verontreinigd")))</f>
        <v>niet verontreinigd</v>
      </c>
    </row>
    <row r="61" spans="2:14" hidden="1" x14ac:dyDescent="0.25">
      <c r="B61" s="188" t="str">
        <f>standaardisering!B67</f>
        <v>DDT</v>
      </c>
      <c r="C61" s="162">
        <f>standaardisering!C67</f>
        <v>0</v>
      </c>
      <c r="D61" s="179">
        <f>standaardisering!I67</f>
        <v>0</v>
      </c>
      <c r="E61" s="162" t="str">
        <f>standaardisering!K67</f>
        <v>mg/kg ds</v>
      </c>
      <c r="J61" s="169"/>
      <c r="N61" s="295"/>
    </row>
    <row r="62" spans="2:14" hidden="1" x14ac:dyDescent="0.25">
      <c r="B62" s="188" t="str">
        <f>standaardisering!B68</f>
        <v xml:space="preserve">DDE of 2,2-bis(p-chlorophenyl)-1,1-dichloroethylene </v>
      </c>
      <c r="C62" s="162">
        <f>standaardisering!C68</f>
        <v>0</v>
      </c>
      <c r="D62" s="179">
        <f>standaardisering!I68</f>
        <v>0</v>
      </c>
      <c r="E62" s="162" t="str">
        <f>standaardisering!K68</f>
        <v>mg/kg ds</v>
      </c>
      <c r="J62" s="169"/>
      <c r="N62" s="295"/>
    </row>
    <row r="63" spans="2:14" hidden="1" x14ac:dyDescent="0.25">
      <c r="B63" s="188" t="str">
        <f>standaardisering!B69</f>
        <v>DDD of dichlorodiphenyldichloroethane</v>
      </c>
      <c r="C63" s="162">
        <f>standaardisering!C69</f>
        <v>0</v>
      </c>
      <c r="D63" s="179">
        <f>standaardisering!I69</f>
        <v>0</v>
      </c>
      <c r="E63" s="162" t="str">
        <f>standaardisering!K69</f>
        <v>mg/kg ds</v>
      </c>
      <c r="J63" s="169"/>
      <c r="N63" s="295"/>
    </row>
    <row r="64" spans="2:14" x14ac:dyDescent="0.25">
      <c r="B64" s="188" t="str">
        <f>standaardisering!B70</f>
        <v>DDT/DDE/DDD(som)</v>
      </c>
      <c r="C64" s="162">
        <f>standaardisering!C70</f>
        <v>0</v>
      </c>
      <c r="D64" s="179">
        <f>standaardisering!I70</f>
        <v>0</v>
      </c>
      <c r="E64" s="162" t="str">
        <f>standaardisering!K70</f>
        <v>mg/kg ds</v>
      </c>
      <c r="F64" s="162">
        <v>0.3</v>
      </c>
      <c r="G64" s="162">
        <v>0.3</v>
      </c>
      <c r="H64" s="162">
        <v>4</v>
      </c>
      <c r="I64" s="162">
        <v>4</v>
      </c>
      <c r="J64" s="169" t="str">
        <f>IF(D64&gt;I64,"sterk verontreinigd",IF(D64&gt;H64,"sterk verontreinigd",IF(D64&gt;G64,"matig verontreinigd",IF(D64&gt;F64,"licht verontreinigd","niet verontreinigd"))))</f>
        <v>niet verontreinigd</v>
      </c>
      <c r="L64" s="288">
        <f t="shared" ref="L64:L74" si="9">F64*2</f>
        <v>0.6</v>
      </c>
      <c r="M64" s="288">
        <f t="shared" si="5"/>
        <v>0.6</v>
      </c>
      <c r="N64" s="295" t="str">
        <f>IF(D64&gt;I64,"sterk verontreinigd",IF(D64&gt;H64,"sterk verontreinigd",IF(D64&gt;G64,"matig verontreinigd",IF(D64&gt;M64,"licht verontreinigd","niet verontreinigd"))))</f>
        <v>niet verontreinigd</v>
      </c>
    </row>
    <row r="65" spans="2:14" x14ac:dyDescent="0.25">
      <c r="B65" s="188" t="str">
        <f>standaardisering!B71</f>
        <v>Aldrin</v>
      </c>
      <c r="C65" s="162">
        <f>standaardisering!C71</f>
        <v>0</v>
      </c>
      <c r="D65" s="179">
        <f>standaardisering!I71</f>
        <v>0</v>
      </c>
      <c r="E65" s="162" t="str">
        <f>standaardisering!K71</f>
        <v>mg/kg ds</v>
      </c>
      <c r="F65" s="162">
        <v>8.0000000000000004E-4</v>
      </c>
      <c r="G65" s="162">
        <v>1.2999999999999999E-3</v>
      </c>
      <c r="J65" s="169" t="str">
        <f>IF(D65&gt;G65,"matig verontreinigd",IF(D65&gt;F65,"licht verontreinigd","niet verontreinigd"))</f>
        <v>niet verontreinigd</v>
      </c>
      <c r="L65" s="288">
        <f t="shared" si="9"/>
        <v>1.6000000000000001E-3</v>
      </c>
      <c r="M65" s="288">
        <f t="shared" si="5"/>
        <v>1.6000000000000001E-3</v>
      </c>
      <c r="N65" s="295" t="str">
        <f>IF(D65&gt;G65,"matig verontreinigd",IF(D65&gt;M65,"licht verontreinigd","niet verontreinigd"))</f>
        <v>niet verontreinigd</v>
      </c>
    </row>
    <row r="66" spans="2:14" x14ac:dyDescent="0.25">
      <c r="B66" s="188" t="str">
        <f>standaardisering!B72</f>
        <v>Dieldrin</v>
      </c>
      <c r="C66" s="162">
        <f>standaardisering!C72</f>
        <v>0</v>
      </c>
      <c r="D66" s="179">
        <f>standaardisering!I72</f>
        <v>0</v>
      </c>
      <c r="E66" s="162" t="str">
        <f>standaardisering!K72</f>
        <v>mg/kg ds</v>
      </c>
      <c r="F66" s="162">
        <v>8.0000000000000002E-3</v>
      </c>
      <c r="G66" s="162">
        <v>8.0000000000000002E-3</v>
      </c>
      <c r="J66" s="169" t="str">
        <f>IF(D66&gt;G66,"matig verontreinigd",IF(D66&gt;F66,"licht verontreinigd","niet verontreinigd"))</f>
        <v>niet verontreinigd</v>
      </c>
      <c r="L66" s="288">
        <f t="shared" si="9"/>
        <v>1.6E-2</v>
      </c>
      <c r="M66" s="288">
        <f t="shared" si="5"/>
        <v>1.6E-2</v>
      </c>
      <c r="N66" s="295" t="str">
        <f t="shared" ref="N66:N67" si="10">IF(D66&gt;G66,"matig verontreinigd",IF(D66&gt;M66,"licht verontreinigd","niet verontreinigd"))</f>
        <v>niet verontreinigd</v>
      </c>
    </row>
    <row r="67" spans="2:14" x14ac:dyDescent="0.25">
      <c r="B67" s="188" t="str">
        <f>standaardisering!B73</f>
        <v>Endrin</v>
      </c>
      <c r="C67" s="162">
        <f>standaardisering!C73</f>
        <v>0</v>
      </c>
      <c r="D67" s="179">
        <f>standaardisering!I73</f>
        <v>0</v>
      </c>
      <c r="E67" s="162" t="str">
        <f>standaardisering!K73</f>
        <v>mg/kg ds</v>
      </c>
      <c r="F67" s="162">
        <v>3.5000000000000001E-3</v>
      </c>
      <c r="G67" s="162">
        <v>3.5000000000000001E-3</v>
      </c>
      <c r="J67" s="169" t="str">
        <f>IF(D67&gt;G67,"matig verontreinigd",IF(D67&gt;F67,"licht verontreinigd","niet verontreinigd"))</f>
        <v>niet verontreinigd</v>
      </c>
      <c r="L67" s="288">
        <f t="shared" si="9"/>
        <v>7.0000000000000001E-3</v>
      </c>
      <c r="M67" s="288">
        <f t="shared" si="5"/>
        <v>7.0000000000000001E-3</v>
      </c>
      <c r="N67" s="295" t="str">
        <f t="shared" si="10"/>
        <v>niet verontreinigd</v>
      </c>
    </row>
    <row r="68" spans="2:14" x14ac:dyDescent="0.25">
      <c r="B68" s="188" t="str">
        <f>standaardisering!B74</f>
        <v>Isodrin</v>
      </c>
      <c r="C68" s="162">
        <f>standaardisering!C74</f>
        <v>0</v>
      </c>
      <c r="D68" s="179">
        <f>standaardisering!I74</f>
        <v>0</v>
      </c>
      <c r="E68" s="162" t="str">
        <f>standaardisering!K74</f>
        <v>mg/kg ds</v>
      </c>
      <c r="F68" s="162">
        <v>1E-3</v>
      </c>
      <c r="J68" s="169" t="str">
        <f>IF(D68&gt;F68,"matig verontreinigd","niet verontreinigd")</f>
        <v>niet verontreinigd</v>
      </c>
      <c r="L68" s="288">
        <f t="shared" si="9"/>
        <v>2E-3</v>
      </c>
      <c r="M68" s="288">
        <f t="shared" si="5"/>
        <v>2E-3</v>
      </c>
      <c r="N68" s="295" t="str">
        <f>IF(D68&gt;M68,"matig verontreinigd","niet verontreinigd")</f>
        <v>niet verontreinigd</v>
      </c>
    </row>
    <row r="69" spans="2:14" x14ac:dyDescent="0.25">
      <c r="B69" s="188" t="str">
        <f>standaardisering!B75</f>
        <v>Isobenzan of telodrin</v>
      </c>
      <c r="C69" s="162">
        <f>standaardisering!C75</f>
        <v>0</v>
      </c>
      <c r="D69" s="179">
        <f>standaardisering!I75</f>
        <v>0</v>
      </c>
      <c r="E69" s="162" t="str">
        <f>standaardisering!K75</f>
        <v>mg/kg ds</v>
      </c>
      <c r="F69" s="162">
        <v>5.0000000000000001E-3</v>
      </c>
      <c r="J69" s="169" t="str">
        <f>IF(D69&gt;F69,"matig verontreinigd","niet verontreinigd")</f>
        <v>niet verontreinigd</v>
      </c>
      <c r="L69" s="288">
        <f t="shared" si="9"/>
        <v>0.01</v>
      </c>
      <c r="M69" s="288">
        <f t="shared" si="5"/>
        <v>0.01</v>
      </c>
      <c r="N69" s="295" t="str">
        <f>IF(D69&gt;M69,"matig verontreinigd","niet verontreinigd")</f>
        <v>niet verontreinigd</v>
      </c>
    </row>
    <row r="70" spans="2:14" x14ac:dyDescent="0.25">
      <c r="B70" s="188" t="str">
        <f>standaardisering!B76</f>
        <v>Drins (som)</v>
      </c>
      <c r="C70" s="162">
        <f>standaardisering!C76</f>
        <v>0</v>
      </c>
      <c r="D70" s="179">
        <f>standaardisering!I76</f>
        <v>0</v>
      </c>
      <c r="E70" s="162" t="str">
        <f>standaardisering!K76</f>
        <v>mg/kg ds</v>
      </c>
      <c r="F70" s="162">
        <v>1.4999999999999999E-2</v>
      </c>
      <c r="G70" s="162">
        <v>1.4999999999999999E-2</v>
      </c>
      <c r="H70" s="162">
        <v>4</v>
      </c>
      <c r="I70" s="162">
        <v>4</v>
      </c>
      <c r="J70" s="169" t="str">
        <f>IF(D70&gt;I70,"sterk verontreinigd",IF(D70&gt;H70,"sterk verontreinigd",IF(D70&gt;G70,"matig verontreinigd",IF(D70&gt;F70,"licht verontreinigd","niet verontreinigd"))))</f>
        <v>niet verontreinigd</v>
      </c>
      <c r="K70" s="288">
        <v>0.04</v>
      </c>
      <c r="L70" s="288">
        <f t="shared" si="9"/>
        <v>0.03</v>
      </c>
      <c r="M70" s="288">
        <f t="shared" si="5"/>
        <v>0.03</v>
      </c>
      <c r="N70" s="295" t="str">
        <f>IF(D70&gt;I70,"sterk verontreinigd",IF(D70&gt;H70,"sterk verontreinigd",IF(D70&gt;G70,"matig verontreinigd",IF(D70&gt;M70,"licht verontreinigd","niet verontreinigd"))))</f>
        <v>niet verontreinigd</v>
      </c>
    </row>
    <row r="71" spans="2:14" x14ac:dyDescent="0.25">
      <c r="B71" s="188" t="str">
        <f>standaardisering!B77</f>
        <v>alfa-endosulfan</v>
      </c>
      <c r="C71" s="162">
        <f>standaardisering!C77</f>
        <v>0</v>
      </c>
      <c r="D71" s="179">
        <f>standaardisering!I77</f>
        <v>0</v>
      </c>
      <c r="E71" s="162" t="str">
        <f>standaardisering!K77</f>
        <v>mg/kg ds</v>
      </c>
      <c r="F71" s="162">
        <v>8.9999999999999998E-4</v>
      </c>
      <c r="G71" s="162">
        <v>2.0999999999999999E-3</v>
      </c>
      <c r="H71" s="162">
        <v>4</v>
      </c>
      <c r="I71" s="162">
        <v>4</v>
      </c>
      <c r="J71" s="169" t="str">
        <f>IF(D71&gt;I71,"sterk verontreinigd",IF(D71&gt;H71,"sterk verontreinigd",IF(D71&gt;G71,"matig verontreinigd",IF(D71&gt;F71,"licht verontreinigd","niet verontreinigd"))))</f>
        <v>niet verontreinigd</v>
      </c>
      <c r="K71" s="288">
        <v>8.9999999999999998E-4</v>
      </c>
      <c r="L71" s="288">
        <f t="shared" si="9"/>
        <v>1.8E-3</v>
      </c>
      <c r="M71" s="288">
        <f t="shared" si="5"/>
        <v>8.9999999999999998E-4</v>
      </c>
      <c r="N71" s="295" t="str">
        <f>IF(D71&gt;I71,"sterk verontreinigd",IF(D71&gt;H71,"sterk verontreinigd",IF(D71&gt;G71,"matig verontreinigd",IF(D71&gt;M71,"licht verontreinigd","niet verontreinigd"))))</f>
        <v>niet verontreinigd</v>
      </c>
    </row>
    <row r="72" spans="2:14" x14ac:dyDescent="0.25">
      <c r="B72" s="188" t="str">
        <f>standaardisering!B78</f>
        <v>alfa-HCH</v>
      </c>
      <c r="C72" s="162">
        <f>standaardisering!C78</f>
        <v>0</v>
      </c>
      <c r="D72" s="179">
        <f>standaardisering!I78</f>
        <v>0</v>
      </c>
      <c r="E72" s="162" t="str">
        <f>standaardisering!K78</f>
        <v>mg/kg ds</v>
      </c>
      <c r="F72" s="162">
        <v>1E-3</v>
      </c>
      <c r="G72" s="162">
        <v>1.1999999999999999E-3</v>
      </c>
      <c r="J72" s="169" t="str">
        <f>IF(D72&gt;G72,"matig verontreinigd",IF(D72&gt;F72,"licht verontreinigd","niet verontreinigd"))</f>
        <v>niet verontreinigd</v>
      </c>
      <c r="K72" s="288">
        <v>1E-3</v>
      </c>
      <c r="L72" s="288">
        <f t="shared" si="9"/>
        <v>2E-3</v>
      </c>
      <c r="M72" s="288">
        <f t="shared" si="5"/>
        <v>1E-3</v>
      </c>
      <c r="N72" s="295" t="str">
        <f>IF(D72&gt;G72,"matig verontreinigd",IF(D72&gt;M72,"licht verontreinigd","niet verontreinigd"))</f>
        <v>niet verontreinigd</v>
      </c>
    </row>
    <row r="73" spans="2:14" x14ac:dyDescent="0.25">
      <c r="B73" s="188" t="str">
        <f>standaardisering!B79</f>
        <v>beta-HCH</v>
      </c>
      <c r="C73" s="162">
        <f>standaardisering!C79</f>
        <v>0</v>
      </c>
      <c r="D73" s="179">
        <f>standaardisering!I79</f>
        <v>0</v>
      </c>
      <c r="E73" s="162" t="str">
        <f>standaardisering!K79</f>
        <v>mg/kg ds</v>
      </c>
      <c r="F73" s="162">
        <v>2E-3</v>
      </c>
      <c r="G73" s="162">
        <v>6.4999999999999997E-3</v>
      </c>
      <c r="J73" s="169" t="str">
        <f>IF(D73&gt;G73,"matig verontreinigd",IF(D73&gt;F73,"licht verontreinigd","niet verontreinigd"))</f>
        <v>niet verontreinigd</v>
      </c>
      <c r="K73" s="288">
        <v>2E-3</v>
      </c>
      <c r="L73" s="288">
        <f t="shared" si="9"/>
        <v>4.0000000000000001E-3</v>
      </c>
      <c r="M73" s="288">
        <f t="shared" si="5"/>
        <v>2E-3</v>
      </c>
      <c r="N73" s="295" t="str">
        <f t="shared" ref="N73:N74" si="11">IF(D73&gt;G73,"matig verontreinigd",IF(D73&gt;M73,"licht verontreinigd","niet verontreinigd"))</f>
        <v>niet verontreinigd</v>
      </c>
    </row>
    <row r="74" spans="2:14" x14ac:dyDescent="0.25">
      <c r="B74" s="188" t="str">
        <f>standaardisering!B80</f>
        <v>delta-HCH</v>
      </c>
      <c r="C74" s="162">
        <f>standaardisering!C80</f>
        <v>0</v>
      </c>
      <c r="D74" s="179">
        <f>standaardisering!I80</f>
        <v>0</v>
      </c>
      <c r="E74" s="162" t="str">
        <f>standaardisering!K80</f>
        <v>mg/kg ds</v>
      </c>
      <c r="F74" s="162">
        <v>3.0000000000000001E-3</v>
      </c>
      <c r="G74" s="162">
        <v>3.0000000000000001E-3</v>
      </c>
      <c r="J74" s="169" t="str">
        <f>IF(D74&gt;G74,"matig verontreinigd",IF(D74&gt;F74,"licht verontreinigd","niet verontreinigd"))</f>
        <v>niet verontreinigd</v>
      </c>
      <c r="K74" s="288">
        <v>0.04</v>
      </c>
      <c r="L74" s="288">
        <f t="shared" si="9"/>
        <v>6.0000000000000001E-3</v>
      </c>
      <c r="M74" s="288">
        <f t="shared" si="5"/>
        <v>6.0000000000000001E-3</v>
      </c>
      <c r="N74" s="295" t="str">
        <f t="shared" si="11"/>
        <v>niet verontreinigd</v>
      </c>
    </row>
    <row r="75" spans="2:14" hidden="1" x14ac:dyDescent="0.25">
      <c r="B75" s="188" t="str">
        <f>standaardisering!B81</f>
        <v>gamma-HCH</v>
      </c>
      <c r="C75" s="162">
        <f>standaardisering!C81</f>
        <v>0</v>
      </c>
      <c r="D75" s="179">
        <f>standaardisering!I81</f>
        <v>0</v>
      </c>
      <c r="E75" s="162" t="str">
        <f>standaardisering!K81</f>
        <v>mg/kg ds</v>
      </c>
      <c r="J75" s="169"/>
      <c r="N75" s="295"/>
    </row>
    <row r="76" spans="2:14" x14ac:dyDescent="0.25">
      <c r="B76" s="188" t="str">
        <f>standaardisering!B82</f>
        <v>HCH (alle hexachloorcyclohexanen, inclusief lindaan)</v>
      </c>
      <c r="C76" s="162">
        <f>standaardisering!C82</f>
        <v>0</v>
      </c>
      <c r="D76" s="179">
        <f>standaardisering!I82</f>
        <v>0</v>
      </c>
      <c r="E76" s="162" t="str">
        <f>standaardisering!K82</f>
        <v>mg/kg ds</v>
      </c>
      <c r="F76" s="162">
        <v>0.01</v>
      </c>
      <c r="G76" s="162">
        <v>0.01</v>
      </c>
      <c r="H76" s="162">
        <v>2</v>
      </c>
      <c r="I76" s="162">
        <v>2</v>
      </c>
      <c r="J76" s="169" t="str">
        <f>IF(D76&gt;I76,"sterk verontreinigd",IF(D76&gt;H76,"sterk verontreinigd",IF(D76&gt;G76,"matig verontreinigd",IF(D76&gt;F76,"licht verontreinigd","niet verontreinigd"))))</f>
        <v>niet verontreinigd</v>
      </c>
      <c r="L76" s="288">
        <f>F76*2</f>
        <v>0.02</v>
      </c>
      <c r="M76" s="288">
        <f t="shared" si="5"/>
        <v>0.02</v>
      </c>
      <c r="N76" s="295" t="str">
        <f>IF(D76&gt;I76,"sterk verontreinigd",IF(D76&gt;H76,"sterk verontreinigd",IF(D76&gt;G76,"matig verontreinigd",IF(D76&gt;M76,"licht verontreinigd","niet verontreinigd"))))</f>
        <v>niet verontreinigd</v>
      </c>
    </row>
    <row r="77" spans="2:14" x14ac:dyDescent="0.25">
      <c r="B77" s="188" t="str">
        <f>standaardisering!B83</f>
        <v>Heptachloor</v>
      </c>
      <c r="C77" s="162">
        <f>standaardisering!C83</f>
        <v>0</v>
      </c>
      <c r="D77" s="179">
        <f>standaardisering!I83</f>
        <v>0</v>
      </c>
      <c r="E77" s="162" t="str">
        <f>standaardisering!K83</f>
        <v>mg/kg ds</v>
      </c>
      <c r="F77" s="162">
        <v>6.9999999999999999E-4</v>
      </c>
      <c r="G77" s="162">
        <v>4.0000000000000001E-3</v>
      </c>
      <c r="H77" s="162">
        <v>4</v>
      </c>
      <c r="I77" s="162">
        <v>4</v>
      </c>
      <c r="J77" s="169" t="str">
        <f>IF(D77&gt;I77,"sterk verontreinigd",IF(D77&gt;H77,"sterk verontreinigd",IF(D77&gt;G77,"matig verontreinigd",IF(D77&gt;F77,"licht verontreinigd","niet verontreinigd"))))</f>
        <v>niet verontreinigd</v>
      </c>
      <c r="K77" s="288">
        <v>6.9999999999999999E-4</v>
      </c>
      <c r="L77" s="288">
        <f>F77*2</f>
        <v>1.4E-3</v>
      </c>
      <c r="M77" s="288">
        <f t="shared" si="5"/>
        <v>6.9999999999999999E-4</v>
      </c>
      <c r="N77" s="295" t="str">
        <f>IF(D77&gt;I77,"sterk verontreinigd",IF(D77&gt;H77,"sterk verontreinigd",IF(D77&gt;G77,"matig verontreinigd",IF(D77&gt;M77,"licht verontreinigd","niet verontreinigd"))))</f>
        <v>niet verontreinigd</v>
      </c>
    </row>
    <row r="78" spans="2:14" x14ac:dyDescent="0.25">
      <c r="B78" s="188" t="str">
        <f>standaardisering!B84</f>
        <v>Heptachloorepoxide</v>
      </c>
      <c r="C78" s="162">
        <f>standaardisering!C84</f>
        <v>0</v>
      </c>
      <c r="D78" s="179">
        <f>standaardisering!I84</f>
        <v>0</v>
      </c>
      <c r="E78" s="162" t="str">
        <f>standaardisering!K84</f>
        <v>mg/kg ds</v>
      </c>
      <c r="F78" s="162">
        <v>2E-3</v>
      </c>
      <c r="G78" s="162">
        <v>4.0000000000000001E-3</v>
      </c>
      <c r="H78" s="162">
        <v>4</v>
      </c>
      <c r="I78" s="162">
        <v>4</v>
      </c>
      <c r="J78" s="169" t="str">
        <f>IF(D78&gt;I78,"sterk verontreinigd",IF(D78&gt;H78,"sterk verontreinigd",IF(D78&gt;G78,"matig verontreinigd",IF(D78&gt;F78,"licht verontreinigd","niet verontreinigd"))))</f>
        <v>niet verontreinigd</v>
      </c>
      <c r="K78" s="288">
        <v>2E-3</v>
      </c>
      <c r="L78" s="288">
        <f>F78*2</f>
        <v>4.0000000000000001E-3</v>
      </c>
      <c r="M78" s="288">
        <f t="shared" si="5"/>
        <v>2E-3</v>
      </c>
      <c r="N78" s="295" t="str">
        <f>IF(D78&gt;I78,"sterk verontreinigd",IF(D78&gt;H78,"sterk verontreinigd",IF(D78&gt;G78,"matig verontreinigd",IF(D78&gt;M78,"licht verontreinigd","niet verontreinigd"))))</f>
        <v>niet verontreinigd</v>
      </c>
    </row>
    <row r="79" spans="2:14" x14ac:dyDescent="0.25">
      <c r="B79" s="188" t="str">
        <f>standaardisering!B85</f>
        <v>Hexachloorbutadieen</v>
      </c>
      <c r="C79" s="162">
        <f>standaardisering!C85</f>
        <v>0</v>
      </c>
      <c r="D79" s="179">
        <f>standaardisering!I85</f>
        <v>0</v>
      </c>
      <c r="E79" s="162" t="str">
        <f>standaardisering!K85</f>
        <v>mg/kg ds</v>
      </c>
      <c r="F79" s="162">
        <v>3.0000000000000001E-3</v>
      </c>
      <c r="G79" s="162">
        <v>7.4999999999999997E-3</v>
      </c>
      <c r="J79" s="169" t="str">
        <f>IF(D79&gt;G79,"matig verontreinigd",IF(D79&gt;F79,"licht verontreinigd","niet verontreinigd"))</f>
        <v>niet verontreinigd</v>
      </c>
      <c r="L79" s="288">
        <f>F79*2</f>
        <v>6.0000000000000001E-3</v>
      </c>
      <c r="M79" s="288">
        <f t="shared" si="5"/>
        <v>6.0000000000000001E-3</v>
      </c>
      <c r="N79" s="295" t="str">
        <f>IF(D79&gt;G79,"matig verontreinigd",IF(D79&gt;M79,"licht verontreinigd","niet verontreinigd"))</f>
        <v>niet verontreinigd</v>
      </c>
    </row>
    <row r="80" spans="2:14" hidden="1" x14ac:dyDescent="0.25">
      <c r="B80" s="188" t="str">
        <f>standaardisering!B86</f>
        <v>Enodsulfansulfaat</v>
      </c>
      <c r="C80" s="162">
        <f>standaardisering!C86</f>
        <v>0</v>
      </c>
      <c r="D80" s="179">
        <f>standaardisering!I86</f>
        <v>0</v>
      </c>
      <c r="E80" s="162" t="str">
        <f>standaardisering!K86</f>
        <v>mg/kg ds</v>
      </c>
      <c r="J80" s="182"/>
      <c r="N80" s="295"/>
    </row>
    <row r="81" spans="2:14" x14ac:dyDescent="0.25">
      <c r="B81" s="188" t="str">
        <f>standaardisering!B87</f>
        <v>OCB (som)</v>
      </c>
      <c r="D81" s="179"/>
      <c r="F81" s="162">
        <v>0.4</v>
      </c>
      <c r="J81" s="169" t="str">
        <f>IF(D81&gt;F81,"licht verontreinigd","niet verontreinigd")</f>
        <v>niet verontreinigd</v>
      </c>
      <c r="L81" s="288">
        <f>F81*2</f>
        <v>0.8</v>
      </c>
      <c r="M81" s="288">
        <f t="shared" si="5"/>
        <v>0.8</v>
      </c>
      <c r="N81" s="295" t="str">
        <f>IF(D81&gt;F81,"licht verontreinigd","niet verontreinigd")</f>
        <v>niet verontreinigd</v>
      </c>
    </row>
    <row r="82" spans="2:14" x14ac:dyDescent="0.25">
      <c r="B82" s="188"/>
      <c r="J82" s="169"/>
      <c r="N82" s="295"/>
    </row>
    <row r="83" spans="2:14" x14ac:dyDescent="0.25">
      <c r="B83" s="187" t="str">
        <f>standaardisering!B89</f>
        <v>Organotin bestrijdingsmiddelen</v>
      </c>
      <c r="C83" s="162">
        <f>standaardisering!C89</f>
        <v>0</v>
      </c>
      <c r="J83" s="169"/>
      <c r="N83" s="295"/>
    </row>
    <row r="84" spans="2:14" x14ac:dyDescent="0.25">
      <c r="B84" s="188" t="str">
        <f>standaardisering!B90</f>
        <v>organotinverbindingen</v>
      </c>
      <c r="C84" s="162">
        <f>standaardisering!C90</f>
        <v>0</v>
      </c>
      <c r="D84" s="162">
        <f>standaardisering!I90</f>
        <v>0</v>
      </c>
      <c r="E84" s="162" t="str">
        <f>standaardisering!K90</f>
        <v>mg/kg ds</v>
      </c>
      <c r="F84" s="162">
        <v>0.15</v>
      </c>
      <c r="H84" s="162">
        <v>2.5</v>
      </c>
      <c r="I84" s="162">
        <v>2.5</v>
      </c>
      <c r="J84" s="169" t="str">
        <f>IF(D84&gt;I84,"sterk verontreinigd",IF(D84&gt;H84,"sterk verontreinigd",IF(D84&gt;F84,"matig verontreinigd","niet verontreinigd")))</f>
        <v>niet verontreinigd</v>
      </c>
      <c r="K84" s="288">
        <v>0.5</v>
      </c>
      <c r="L84" s="288">
        <f>F84*2</f>
        <v>0.3</v>
      </c>
      <c r="M84" s="288">
        <f t="shared" si="5"/>
        <v>0.3</v>
      </c>
      <c r="N84" s="295" t="str">
        <f>IF(D84&gt;I84,"sterk verontreinigd",IF(D84&gt;H84,"sterk verontreinigd",IF(D84&gt;M84,"matig verontreinigd","niet verontreinigd")))</f>
        <v>niet verontreinigd</v>
      </c>
    </row>
    <row r="85" spans="2:14" ht="13.8" thickBot="1" x14ac:dyDescent="0.3">
      <c r="B85" s="188" t="str">
        <f>standaardisering!B91</f>
        <v>Tributyltin</v>
      </c>
      <c r="C85" s="162">
        <f>standaardisering!C91</f>
        <v>0</v>
      </c>
      <c r="D85" s="162">
        <f>standaardisering!I91</f>
        <v>0</v>
      </c>
      <c r="E85" s="162" t="str">
        <f>standaardisering!K91</f>
        <v>mg/kg ds</v>
      </c>
      <c r="F85" s="162">
        <v>6.5000000000000002E-2</v>
      </c>
      <c r="G85" s="162">
        <v>0.25</v>
      </c>
      <c r="J85" s="169" t="str">
        <f>IF(D85&gt;G85,"matig verontreinigd",IF(D85&gt;F85,"licht verontreinigd","niet verontreinigd"))</f>
        <v>niet verontreinigd</v>
      </c>
      <c r="K85" s="296">
        <v>6.5000000000000002E-2</v>
      </c>
      <c r="L85" s="296">
        <f>F85*2</f>
        <v>0.13</v>
      </c>
      <c r="M85" s="296">
        <f t="shared" si="5"/>
        <v>6.5000000000000002E-2</v>
      </c>
      <c r="N85" s="297" t="str">
        <f>IF(D85&gt;G85,"matig verontreinigd",IF(D85&gt;M85,"licht verontreinigd","niet verontreinigd"))</f>
        <v>niet verontreinigd</v>
      </c>
    </row>
    <row r="86" spans="2:14" x14ac:dyDescent="0.25">
      <c r="B86" s="188"/>
      <c r="J86" s="169"/>
    </row>
    <row r="87" spans="2:14" x14ac:dyDescent="0.25">
      <c r="B87" s="187" t="s">
        <v>477</v>
      </c>
      <c r="J87" s="174" t="str">
        <f>U16</f>
        <v>Niet verontreinigd</v>
      </c>
    </row>
    <row r="88" spans="2:14" ht="13.8" thickBot="1" x14ac:dyDescent="0.3">
      <c r="B88" s="189" t="s">
        <v>478</v>
      </c>
      <c r="C88" s="177"/>
      <c r="D88" s="177"/>
      <c r="E88" s="177"/>
      <c r="F88" s="177"/>
      <c r="G88" s="177"/>
      <c r="H88" s="177"/>
      <c r="I88" s="177"/>
      <c r="J88" s="183" t="str">
        <f>IF(D27&gt;=100.0001,"Sterk verontreinigd","Niet verontreinigd")</f>
        <v>Niet verontreinigd</v>
      </c>
    </row>
    <row r="89" spans="2:14" ht="13.8" thickBot="1" x14ac:dyDescent="0.3"/>
    <row r="90" spans="2:14" ht="26.4" x14ac:dyDescent="0.25">
      <c r="B90" s="190" t="str">
        <f>standaardisering!B94</f>
        <v xml:space="preserve">PFAS verbindingen </v>
      </c>
      <c r="C90" s="166">
        <f>standaardisering!C94</f>
        <v>0</v>
      </c>
      <c r="D90" s="217" t="str">
        <f>D9</f>
        <v>gestandaardiseerd gehalte</v>
      </c>
      <c r="E90" s="166" t="str">
        <f>E9</f>
        <v>Eenheid</v>
      </c>
      <c r="F90" s="166" t="s">
        <v>484</v>
      </c>
      <c r="G90" s="166" t="s">
        <v>483</v>
      </c>
      <c r="H90" s="164"/>
      <c r="I90" s="164"/>
      <c r="J90" s="165"/>
    </row>
    <row r="91" spans="2:14" x14ac:dyDescent="0.25">
      <c r="B91" s="188" t="str">
        <f>standaardisering!B95</f>
        <v>Perfluorbutaanzuur (PFBA)</v>
      </c>
      <c r="C91" s="162">
        <f>standaardisering!C95</f>
        <v>0</v>
      </c>
      <c r="D91" s="175">
        <f>standaardisering!I95</f>
        <v>0</v>
      </c>
      <c r="E91" s="162" t="str">
        <f>standaardisering!K95</f>
        <v>µg/kg ds</v>
      </c>
      <c r="F91" s="162">
        <v>0.8</v>
      </c>
      <c r="G91" s="168" t="str">
        <f>IF(D91&gt;F91,"niet toepasbaar","toepasbaar")</f>
        <v>toepasbaar</v>
      </c>
      <c r="J91" s="169"/>
    </row>
    <row r="92" spans="2:14" x14ac:dyDescent="0.25">
      <c r="B92" s="188" t="str">
        <f>standaardisering!B96</f>
        <v>Perfluorpentaanzuur (PFPeA)</v>
      </c>
      <c r="C92" s="162">
        <f>standaardisering!C96</f>
        <v>0</v>
      </c>
      <c r="D92" s="175">
        <f>standaardisering!I96</f>
        <v>0</v>
      </c>
      <c r="E92" s="162" t="str">
        <f>standaardisering!K96</f>
        <v>µg/kg ds</v>
      </c>
      <c r="F92" s="162">
        <v>0.8</v>
      </c>
      <c r="G92" s="168" t="str">
        <f t="shared" ref="G92:G123" si="12">IF(D92&gt;F92,"niet toepasbaar","toepasbaar")</f>
        <v>toepasbaar</v>
      </c>
      <c r="J92" s="169"/>
    </row>
    <row r="93" spans="2:14" x14ac:dyDescent="0.25">
      <c r="B93" s="188" t="str">
        <f>standaardisering!B97</f>
        <v>Perfluorhexaanzuur (PFHxA )</v>
      </c>
      <c r="C93" s="162">
        <f>standaardisering!C97</f>
        <v>0</v>
      </c>
      <c r="D93" s="175">
        <f>standaardisering!I97</f>
        <v>0</v>
      </c>
      <c r="E93" s="162" t="str">
        <f>standaardisering!K97</f>
        <v>µg/kg ds</v>
      </c>
      <c r="F93" s="162">
        <v>0.8</v>
      </c>
      <c r="G93" s="168" t="str">
        <f t="shared" si="12"/>
        <v>toepasbaar</v>
      </c>
      <c r="J93" s="169"/>
    </row>
    <row r="94" spans="2:14" x14ac:dyDescent="0.25">
      <c r="B94" s="188" t="str">
        <f>standaardisering!B98</f>
        <v>Perfluorheptaanzuur (PFHpA)</v>
      </c>
      <c r="C94" s="162">
        <f>standaardisering!C98</f>
        <v>0</v>
      </c>
      <c r="D94" s="175">
        <f>standaardisering!I98</f>
        <v>0</v>
      </c>
      <c r="E94" s="162" t="str">
        <f>standaardisering!K98</f>
        <v>µg/kg ds</v>
      </c>
      <c r="F94" s="162">
        <v>0.8</v>
      </c>
      <c r="G94" s="168" t="str">
        <f t="shared" si="12"/>
        <v>toepasbaar</v>
      </c>
      <c r="J94" s="169"/>
    </row>
    <row r="95" spans="2:14" x14ac:dyDescent="0.25">
      <c r="B95" s="188" t="str">
        <f>standaardisering!B99</f>
        <v>Perfluornonaanzuur (PFNA)</v>
      </c>
      <c r="C95" s="162">
        <f>standaardisering!C99</f>
        <v>0</v>
      </c>
      <c r="D95" s="175">
        <f>standaardisering!I99</f>
        <v>0</v>
      </c>
      <c r="E95" s="162" t="str">
        <f>standaardisering!K99</f>
        <v>µg/kg ds</v>
      </c>
      <c r="F95" s="162">
        <v>0.8</v>
      </c>
      <c r="G95" s="168" t="str">
        <f t="shared" si="12"/>
        <v>toepasbaar</v>
      </c>
      <c r="J95" s="169"/>
    </row>
    <row r="96" spans="2:14" x14ac:dyDescent="0.25">
      <c r="B96" s="188" t="str">
        <f>standaardisering!B100</f>
        <v>Perfluordecaanzuur (PFDA)</v>
      </c>
      <c r="C96" s="162">
        <f>standaardisering!C100</f>
        <v>0</v>
      </c>
      <c r="D96" s="175">
        <f>standaardisering!I100</f>
        <v>0</v>
      </c>
      <c r="E96" s="162" t="str">
        <f>standaardisering!K100</f>
        <v>µg/kg ds</v>
      </c>
      <c r="F96" s="162">
        <v>0.8</v>
      </c>
      <c r="G96" s="168" t="str">
        <f t="shared" si="12"/>
        <v>toepasbaar</v>
      </c>
      <c r="J96" s="169"/>
    </row>
    <row r="97" spans="2:10" x14ac:dyDescent="0.25">
      <c r="B97" s="188" t="str">
        <f>standaardisering!B101</f>
        <v>Perfluorundecaanzuur (PFUnDA)</v>
      </c>
      <c r="C97" s="162">
        <f>standaardisering!C101</f>
        <v>0</v>
      </c>
      <c r="D97" s="175">
        <f>standaardisering!I101</f>
        <v>0</v>
      </c>
      <c r="E97" s="162" t="str">
        <f>standaardisering!K101</f>
        <v>µg/kg ds</v>
      </c>
      <c r="F97" s="162">
        <v>0.8</v>
      </c>
      <c r="G97" s="168" t="str">
        <f t="shared" si="12"/>
        <v>toepasbaar</v>
      </c>
      <c r="J97" s="169"/>
    </row>
    <row r="98" spans="2:10" x14ac:dyDescent="0.25">
      <c r="B98" s="188" t="str">
        <f>standaardisering!B102</f>
        <v>Perfluordodecaanzuur (PFDoDA)</v>
      </c>
      <c r="C98" s="162">
        <f>standaardisering!C102</f>
        <v>0</v>
      </c>
      <c r="D98" s="175">
        <f>standaardisering!I102</f>
        <v>0</v>
      </c>
      <c r="E98" s="162" t="str">
        <f>standaardisering!K102</f>
        <v>µg/kg ds</v>
      </c>
      <c r="F98" s="162">
        <v>0.8</v>
      </c>
      <c r="G98" s="168" t="str">
        <f t="shared" si="12"/>
        <v>toepasbaar</v>
      </c>
      <c r="J98" s="169"/>
    </row>
    <row r="99" spans="2:10" x14ac:dyDescent="0.25">
      <c r="B99" s="188" t="str">
        <f>standaardisering!B103</f>
        <v>Perfluortridecaanzuur (PFTrDA)</v>
      </c>
      <c r="C99" s="162">
        <f>standaardisering!C103</f>
        <v>0</v>
      </c>
      <c r="D99" s="175">
        <f>standaardisering!I103</f>
        <v>0</v>
      </c>
      <c r="E99" s="162" t="str">
        <f>standaardisering!K103</f>
        <v>µg/kg ds</v>
      </c>
      <c r="F99" s="162">
        <v>0.8</v>
      </c>
      <c r="G99" s="168" t="str">
        <f t="shared" si="12"/>
        <v>toepasbaar</v>
      </c>
      <c r="J99" s="169"/>
    </row>
    <row r="100" spans="2:10" x14ac:dyDescent="0.25">
      <c r="B100" s="188" t="str">
        <f>standaardisering!B104</f>
        <v>Perfluortetradecaanzuur (PFTeDA)</v>
      </c>
      <c r="C100" s="162">
        <f>standaardisering!C104</f>
        <v>0</v>
      </c>
      <c r="D100" s="175">
        <f>standaardisering!I104</f>
        <v>0</v>
      </c>
      <c r="E100" s="162" t="str">
        <f>standaardisering!K104</f>
        <v>µg/kg ds</v>
      </c>
      <c r="F100" s="162">
        <v>0.8</v>
      </c>
      <c r="G100" s="168" t="str">
        <f t="shared" si="12"/>
        <v>toepasbaar</v>
      </c>
      <c r="J100" s="169"/>
    </row>
    <row r="101" spans="2:10" x14ac:dyDescent="0.25">
      <c r="B101" s="188" t="str">
        <f>standaardisering!B105</f>
        <v>Perfluorhexaandecaanzuur (PFHxDA)</v>
      </c>
      <c r="C101" s="162">
        <f>standaardisering!C105</f>
        <v>0</v>
      </c>
      <c r="D101" s="175">
        <f>standaardisering!I105</f>
        <v>0</v>
      </c>
      <c r="E101" s="162" t="str">
        <f>standaardisering!K105</f>
        <v>µg/kg ds</v>
      </c>
      <c r="F101" s="162">
        <v>0.8</v>
      </c>
      <c r="G101" s="168" t="str">
        <f t="shared" si="12"/>
        <v>toepasbaar</v>
      </c>
      <c r="J101" s="169"/>
    </row>
    <row r="102" spans="2:10" x14ac:dyDescent="0.25">
      <c r="B102" s="188" t="str">
        <f>standaardisering!B106</f>
        <v>Perfluoroctadecaanzuur (PFODA)</v>
      </c>
      <c r="C102" s="162">
        <f>standaardisering!C106</f>
        <v>0</v>
      </c>
      <c r="D102" s="175">
        <f>standaardisering!I106</f>
        <v>0</v>
      </c>
      <c r="E102" s="162" t="str">
        <f>standaardisering!K106</f>
        <v>µg/kg ds</v>
      </c>
      <c r="F102" s="162">
        <v>0.8</v>
      </c>
      <c r="G102" s="168" t="str">
        <f t="shared" si="12"/>
        <v>toepasbaar</v>
      </c>
      <c r="J102" s="169"/>
    </row>
    <row r="103" spans="2:10" x14ac:dyDescent="0.25">
      <c r="B103" s="188" t="str">
        <f>standaardisering!B107</f>
        <v>Perfluorbutaansulfonzuur (PFBS)</v>
      </c>
      <c r="C103" s="162">
        <f>standaardisering!C107</f>
        <v>0</v>
      </c>
      <c r="D103" s="175">
        <f>standaardisering!I107</f>
        <v>0</v>
      </c>
      <c r="E103" s="162" t="str">
        <f>standaardisering!K107</f>
        <v>µg/kg ds</v>
      </c>
      <c r="F103" s="162">
        <v>0.8</v>
      </c>
      <c r="G103" s="168" t="str">
        <f t="shared" si="12"/>
        <v>toepasbaar</v>
      </c>
      <c r="J103" s="169"/>
    </row>
    <row r="104" spans="2:10" x14ac:dyDescent="0.25">
      <c r="B104" s="188" t="str">
        <f>standaardisering!B108</f>
        <v>Perfluorpentaansulfonzuur (PFPeS)</v>
      </c>
      <c r="C104" s="162">
        <f>standaardisering!C108</f>
        <v>0</v>
      </c>
      <c r="D104" s="175">
        <f>standaardisering!I108</f>
        <v>0</v>
      </c>
      <c r="E104" s="162" t="str">
        <f>standaardisering!K108</f>
        <v>µg/kg ds</v>
      </c>
      <c r="F104" s="162">
        <v>0.8</v>
      </c>
      <c r="G104" s="168" t="str">
        <f t="shared" si="12"/>
        <v>toepasbaar</v>
      </c>
      <c r="J104" s="169"/>
    </row>
    <row r="105" spans="2:10" x14ac:dyDescent="0.25">
      <c r="B105" s="188" t="str">
        <f>standaardisering!B109</f>
        <v>Perfluorhexaansulfonzuur (PFHxS)</v>
      </c>
      <c r="C105" s="162">
        <f>standaardisering!C109</f>
        <v>0</v>
      </c>
      <c r="D105" s="175">
        <f>standaardisering!I109</f>
        <v>0</v>
      </c>
      <c r="E105" s="162" t="str">
        <f>standaardisering!K109</f>
        <v>µg/kg ds</v>
      </c>
      <c r="F105" s="162">
        <v>0.8</v>
      </c>
      <c r="G105" s="168" t="str">
        <f t="shared" si="12"/>
        <v>toepasbaar</v>
      </c>
      <c r="J105" s="169"/>
    </row>
    <row r="106" spans="2:10" x14ac:dyDescent="0.25">
      <c r="B106" s="188" t="str">
        <f>standaardisering!B110</f>
        <v>Perfluorheptaansulfonzuur (PFHpS)</v>
      </c>
      <c r="C106" s="162">
        <f>standaardisering!C110</f>
        <v>0</v>
      </c>
      <c r="D106" s="175">
        <f>standaardisering!I110</f>
        <v>0</v>
      </c>
      <c r="E106" s="162" t="str">
        <f>standaardisering!K110</f>
        <v>µg/kg ds</v>
      </c>
      <c r="F106" s="162">
        <v>0.8</v>
      </c>
      <c r="G106" s="168" t="str">
        <f t="shared" si="12"/>
        <v>toepasbaar</v>
      </c>
      <c r="J106" s="169"/>
    </row>
    <row r="107" spans="2:10" x14ac:dyDescent="0.25">
      <c r="B107" s="188" t="str">
        <f>standaardisering!B111</f>
        <v>Perfluordecaansulfonzuur (PFDS)</v>
      </c>
      <c r="C107" s="162">
        <f>standaardisering!C111</f>
        <v>0</v>
      </c>
      <c r="D107" s="175">
        <f>standaardisering!I111</f>
        <v>0</v>
      </c>
      <c r="E107" s="162" t="str">
        <f>standaardisering!K111</f>
        <v>µg/kg ds</v>
      </c>
      <c r="F107" s="162">
        <v>0.8</v>
      </c>
      <c r="G107" s="168" t="str">
        <f t="shared" si="12"/>
        <v>toepasbaar</v>
      </c>
      <c r="J107" s="169"/>
    </row>
    <row r="108" spans="2:10" x14ac:dyDescent="0.25">
      <c r="B108" s="188" t="str">
        <f>standaardisering!B112</f>
        <v>4:2 fluortelomeer sulfonzuur (4:2FTS)</v>
      </c>
      <c r="C108" s="162">
        <f>standaardisering!C112</f>
        <v>0</v>
      </c>
      <c r="D108" s="175">
        <f>standaardisering!I112</f>
        <v>0</v>
      </c>
      <c r="E108" s="162" t="str">
        <f>standaardisering!K112</f>
        <v>µg/kg ds</v>
      </c>
      <c r="F108" s="162">
        <v>0.8</v>
      </c>
      <c r="G108" s="168" t="str">
        <f t="shared" si="12"/>
        <v>toepasbaar</v>
      </c>
      <c r="J108" s="169"/>
    </row>
    <row r="109" spans="2:10" x14ac:dyDescent="0.25">
      <c r="B109" s="188" t="str">
        <f>standaardisering!B113</f>
        <v>6:2 fluortelomeer sulfonzuur (6:2FTS)</v>
      </c>
      <c r="C109" s="162">
        <f>standaardisering!C113</f>
        <v>0</v>
      </c>
      <c r="D109" s="175">
        <f>standaardisering!I113</f>
        <v>0</v>
      </c>
      <c r="E109" s="162" t="str">
        <f>standaardisering!K113</f>
        <v>µg/kg ds</v>
      </c>
      <c r="F109" s="162">
        <v>0.8</v>
      </c>
      <c r="G109" s="168" t="str">
        <f t="shared" si="12"/>
        <v>toepasbaar</v>
      </c>
      <c r="J109" s="169"/>
    </row>
    <row r="110" spans="2:10" x14ac:dyDescent="0.25">
      <c r="B110" s="188" t="str">
        <f>standaardisering!B114</f>
        <v>8:2 fluortelomeer sulfonzuur (8:2FTS)</v>
      </c>
      <c r="C110" s="162">
        <f>standaardisering!C114</f>
        <v>0</v>
      </c>
      <c r="D110" s="175">
        <f>standaardisering!I114</f>
        <v>0</v>
      </c>
      <c r="E110" s="162" t="str">
        <f>standaardisering!K114</f>
        <v>µg/kg ds</v>
      </c>
      <c r="F110" s="162">
        <v>0.8</v>
      </c>
      <c r="G110" s="168" t="str">
        <f t="shared" si="12"/>
        <v>toepasbaar</v>
      </c>
      <c r="J110" s="169"/>
    </row>
    <row r="111" spans="2:10" x14ac:dyDescent="0.25">
      <c r="B111" s="188" t="str">
        <f>standaardisering!B115</f>
        <v>10:2 fluortelomeer sulfonzuur (10:2FTS)</v>
      </c>
      <c r="C111" s="162">
        <f>standaardisering!C115</f>
        <v>0</v>
      </c>
      <c r="D111" s="175">
        <f>standaardisering!I115</f>
        <v>0</v>
      </c>
      <c r="E111" s="162" t="str">
        <f>standaardisering!K115</f>
        <v>µg/kg ds</v>
      </c>
      <c r="F111" s="162">
        <v>0.8</v>
      </c>
      <c r="G111" s="168" t="str">
        <f t="shared" si="12"/>
        <v>toepasbaar</v>
      </c>
      <c r="J111" s="169"/>
    </row>
    <row r="112" spans="2:10" x14ac:dyDescent="0.25">
      <c r="B112" s="188" t="str">
        <f>standaardisering!B116</f>
        <v>Perfluoroctaansulfonamide (PFOSA)</v>
      </c>
      <c r="C112" s="162">
        <f>standaardisering!C116</f>
        <v>0</v>
      </c>
      <c r="D112" s="175">
        <f>standaardisering!I116</f>
        <v>0</v>
      </c>
      <c r="E112" s="162" t="str">
        <f>standaardisering!K116</f>
        <v>µg/kg ds</v>
      </c>
      <c r="F112" s="162">
        <v>0.8</v>
      </c>
      <c r="G112" s="168" t="str">
        <f t="shared" si="12"/>
        <v>toepasbaar</v>
      </c>
      <c r="J112" s="169"/>
    </row>
    <row r="113" spans="2:10" x14ac:dyDescent="0.25">
      <c r="B113" s="188" t="str">
        <f>standaardisering!B117</f>
        <v>N-methyl-perfluoroctaansulfonamide (N-MeFOSA)</v>
      </c>
      <c r="C113" s="162">
        <f>standaardisering!C117</f>
        <v>0</v>
      </c>
      <c r="D113" s="175">
        <f>standaardisering!I117</f>
        <v>0</v>
      </c>
      <c r="E113" s="162" t="str">
        <f>standaardisering!K117</f>
        <v>µg/kg ds</v>
      </c>
      <c r="F113" s="162">
        <v>0.8</v>
      </c>
      <c r="G113" s="168" t="str">
        <f t="shared" si="12"/>
        <v>toepasbaar</v>
      </c>
      <c r="J113" s="169"/>
    </row>
    <row r="114" spans="2:10" x14ac:dyDescent="0.25">
      <c r="B114" s="188" t="str">
        <f>standaardisering!B118</f>
        <v>N-methyl-perfluoroctaansulfonamide acetaat (N-MeFOSAA)</v>
      </c>
      <c r="C114" s="162">
        <f>standaardisering!C118</f>
        <v>0</v>
      </c>
      <c r="D114" s="175">
        <f>standaardisering!I118</f>
        <v>0</v>
      </c>
      <c r="E114" s="162" t="str">
        <f>standaardisering!K118</f>
        <v>µg/kg ds</v>
      </c>
      <c r="F114" s="162">
        <v>0.8</v>
      </c>
      <c r="G114" s="168" t="str">
        <f t="shared" si="12"/>
        <v>toepasbaar</v>
      </c>
      <c r="J114" s="169"/>
    </row>
    <row r="115" spans="2:10" x14ac:dyDescent="0.25">
      <c r="B115" s="188" t="str">
        <f>standaardisering!B119</f>
        <v>N-ethyl-perfluoroctaansulfonamide acetaat (N-EtFOSAA)</v>
      </c>
      <c r="C115" s="162">
        <f>standaardisering!C119</f>
        <v>0</v>
      </c>
      <c r="D115" s="175">
        <f>standaardisering!I119</f>
        <v>0</v>
      </c>
      <c r="E115" s="162" t="str">
        <f>standaardisering!K119</f>
        <v>µg/kg ds</v>
      </c>
      <c r="F115" s="162">
        <v>0.8</v>
      </c>
      <c r="G115" s="168" t="str">
        <f t="shared" si="12"/>
        <v>toepasbaar</v>
      </c>
      <c r="J115" s="169"/>
    </row>
    <row r="116" spans="2:10" x14ac:dyDescent="0.25">
      <c r="B116" s="188" t="str">
        <f>standaardisering!B120</f>
        <v>8:2 fluortelomeer fosfaat diester (8:2diPAP)</v>
      </c>
      <c r="C116" s="162">
        <f>standaardisering!C120</f>
        <v>0</v>
      </c>
      <c r="D116" s="175">
        <f>standaardisering!I120</f>
        <v>0</v>
      </c>
      <c r="E116" s="162" t="str">
        <f>standaardisering!K120</f>
        <v>µg/kg ds</v>
      </c>
      <c r="F116" s="162">
        <v>0.8</v>
      </c>
      <c r="G116" s="168" t="str">
        <f t="shared" si="12"/>
        <v>toepasbaar</v>
      </c>
      <c r="J116" s="169"/>
    </row>
    <row r="117" spans="2:10" hidden="1" x14ac:dyDescent="0.25">
      <c r="B117" s="188" t="e">
        <f>standaardisering!#REF!</f>
        <v>#REF!</v>
      </c>
      <c r="C117" s="162" t="e">
        <f>standaardisering!#REF!</f>
        <v>#REF!</v>
      </c>
      <c r="D117" s="175" t="e">
        <f>standaardisering!#REF!</f>
        <v>#REF!</v>
      </c>
      <c r="E117" s="162" t="e">
        <f>standaardisering!#REF!</f>
        <v>#REF!</v>
      </c>
      <c r="G117" s="168"/>
      <c r="J117" s="169"/>
    </row>
    <row r="118" spans="2:10" hidden="1" x14ac:dyDescent="0.25">
      <c r="B118" s="188" t="e">
        <f>standaardisering!#REF!</f>
        <v>#REF!</v>
      </c>
      <c r="C118" s="162" t="e">
        <f>standaardisering!#REF!</f>
        <v>#REF!</v>
      </c>
      <c r="D118" s="175" t="e">
        <f>standaardisering!#REF!</f>
        <v>#REF!</v>
      </c>
      <c r="E118" s="162" t="e">
        <f>standaardisering!#REF!</f>
        <v>#REF!</v>
      </c>
      <c r="G118" s="168"/>
      <c r="J118" s="169"/>
    </row>
    <row r="119" spans="2:10" x14ac:dyDescent="0.25">
      <c r="B119" s="188" t="str">
        <f>standaardisering!B121</f>
        <v>Som Perfluoroctaanzuur (PFOA) (factor 0,7)</v>
      </c>
      <c r="C119" s="162">
        <f>standaardisering!C121</f>
        <v>0</v>
      </c>
      <c r="D119" s="175">
        <f>standaardisering!I121</f>
        <v>0</v>
      </c>
      <c r="E119" s="162" t="str">
        <f>standaardisering!K121</f>
        <v>µg/kg ds</v>
      </c>
      <c r="F119" s="162">
        <v>0.8</v>
      </c>
      <c r="G119" s="168" t="str">
        <f t="shared" si="12"/>
        <v>toepasbaar</v>
      </c>
      <c r="J119" s="169"/>
    </row>
    <row r="120" spans="2:10" hidden="1" x14ac:dyDescent="0.25">
      <c r="B120" s="188" t="e">
        <f>standaardisering!#REF!</f>
        <v>#REF!</v>
      </c>
      <c r="C120" s="162" t="e">
        <f>standaardisering!#REF!</f>
        <v>#REF!</v>
      </c>
      <c r="D120" s="175" t="e">
        <f>standaardisering!#REF!</f>
        <v>#REF!</v>
      </c>
      <c r="E120" s="162" t="e">
        <f>standaardisering!#REF!</f>
        <v>#REF!</v>
      </c>
      <c r="G120" s="168"/>
      <c r="J120" s="169"/>
    </row>
    <row r="121" spans="2:10" hidden="1" x14ac:dyDescent="0.25">
      <c r="B121" s="188" t="e">
        <f>standaardisering!#REF!</f>
        <v>#REF!</v>
      </c>
      <c r="C121" s="162" t="e">
        <f>standaardisering!#REF!</f>
        <v>#REF!</v>
      </c>
      <c r="D121" s="175" t="e">
        <f>standaardisering!#REF!</f>
        <v>#REF!</v>
      </c>
      <c r="E121" s="162" t="e">
        <f>standaardisering!#REF!</f>
        <v>#REF!</v>
      </c>
      <c r="G121" s="168"/>
      <c r="J121" s="169"/>
    </row>
    <row r="122" spans="2:10" x14ac:dyDescent="0.25">
      <c r="B122" s="188" t="str">
        <f>standaardisering!B122</f>
        <v>Som Perfluoroctaansulfonzuur (PFOS) (factor 0,7)</v>
      </c>
      <c r="C122" s="162">
        <f>standaardisering!C122</f>
        <v>0</v>
      </c>
      <c r="D122" s="175">
        <f>standaardisering!I122</f>
        <v>0</v>
      </c>
      <c r="E122" s="162" t="str">
        <f>standaardisering!K122</f>
        <v>µg/kg ds</v>
      </c>
      <c r="F122" s="162">
        <v>3.7</v>
      </c>
      <c r="G122" s="168" t="str">
        <f t="shared" si="12"/>
        <v>toepasbaar</v>
      </c>
      <c r="J122" s="169"/>
    </row>
    <row r="123" spans="2:10" x14ac:dyDescent="0.25">
      <c r="B123" s="188" t="str">
        <f>standaardisering!B123</f>
        <v>GenX - 2,3,3,3-Tetrafluor-2-(Heptafluorpropoxy)Pro</v>
      </c>
      <c r="C123" s="162">
        <f>standaardisering!C123</f>
        <v>0</v>
      </c>
      <c r="D123" s="175">
        <f>standaardisering!I123</f>
        <v>0</v>
      </c>
      <c r="E123" s="162" t="str">
        <f>standaardisering!K123</f>
        <v>µg/kg ds</v>
      </c>
      <c r="F123" s="162">
        <v>0.8</v>
      </c>
      <c r="G123" s="168" t="str">
        <f t="shared" si="12"/>
        <v>toepasbaar</v>
      </c>
      <c r="J123" s="169"/>
    </row>
    <row r="124" spans="2:10" x14ac:dyDescent="0.25">
      <c r="B124" s="188"/>
      <c r="J124" s="169"/>
    </row>
    <row r="125" spans="2:10" ht="13.8" thickBot="1" x14ac:dyDescent="0.3">
      <c r="B125" s="189" t="s">
        <v>481</v>
      </c>
      <c r="C125" s="177"/>
      <c r="D125" s="177"/>
      <c r="E125" s="177"/>
      <c r="F125" s="177"/>
      <c r="G125" s="184" t="str">
        <f>U21</f>
        <v>Wel toepasbaar</v>
      </c>
      <c r="H125" s="177"/>
      <c r="I125" s="177"/>
      <c r="J125" s="178"/>
    </row>
  </sheetData>
  <sheetProtection algorithmName="SHA-512" hashValue="DQ8knOu0WglTKouNbGUIz39NazGnLcEhmIB7hrsqThHQNTdGaSs1eSY/778kPxXIw2XdrfC7I3+XG5bRMcuT4Q==" saltValue="zUNMRnTJzH0JlQeAo3BLow==" spinCount="100000" sheet="1" selectLockedCells="1" selectUnlockedCells="1"/>
  <mergeCells count="1">
    <mergeCell ref="F8:I8"/>
  </mergeCells>
  <conditionalFormatting sqref="C7:C85 C87:C1048576">
    <cfRule type="cellIs" dxfId="7" priority="1" operator="equal">
      <formula>0</formula>
    </cfRule>
  </conditionalFormatting>
  <pageMargins left="0.7" right="0.7" top="0.75" bottom="0.75" header="0.3" footer="0.3"/>
  <pageSetup paperSize="9" scale="4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31109-2124-4378-BBC9-483DDF89598D}">
  <dimension ref="A1:AL126"/>
  <sheetViews>
    <sheetView showGridLines="0" view="pageBreakPreview" zoomScale="85" zoomScaleNormal="100" zoomScaleSheetLayoutView="85" workbookViewId="0">
      <selection activeCell="D30" sqref="D30"/>
    </sheetView>
  </sheetViews>
  <sheetFormatPr defaultRowHeight="13.2" x14ac:dyDescent="0.25"/>
  <cols>
    <col min="1" max="1" width="8.88671875" style="288"/>
    <col min="2" max="2" width="51.6640625" style="185" bestFit="1" customWidth="1"/>
    <col min="3" max="3" width="13.21875" style="162" customWidth="1"/>
    <col min="4" max="4" width="21.5546875" style="162" customWidth="1"/>
    <col min="5" max="5" width="26.33203125" style="162" customWidth="1"/>
    <col min="6" max="6" width="16.5546875" style="162" bestFit="1" customWidth="1"/>
    <col min="7" max="7" width="19.5546875" style="162" customWidth="1"/>
    <col min="8" max="8" width="22.109375" style="162" bestFit="1" customWidth="1"/>
    <col min="9" max="9" width="17.88671875" style="288" hidden="1" customWidth="1"/>
    <col min="10" max="10" width="22.44140625" style="288" hidden="1" customWidth="1"/>
    <col min="11" max="11" width="16.88671875" style="288" hidden="1" customWidth="1"/>
    <col min="12" max="12" width="24.88671875" style="288" hidden="1" customWidth="1"/>
    <col min="13" max="13" width="0" style="288" hidden="1" customWidth="1"/>
    <col min="14" max="17" width="15.77734375" style="288" hidden="1" customWidth="1"/>
    <col min="18" max="18" width="14.33203125" style="288" hidden="1" customWidth="1"/>
    <col min="19" max="19" width="16" style="288" hidden="1" customWidth="1"/>
    <col min="20" max="21" width="19.44140625" style="288" hidden="1" customWidth="1"/>
    <col min="22" max="32" width="0" style="288" hidden="1" customWidth="1"/>
    <col min="33" max="38" width="8.88671875" style="288"/>
    <col min="39" max="16384" width="8.88671875" style="162"/>
  </cols>
  <sheetData>
    <row r="1" spans="2:26" x14ac:dyDescent="0.25">
      <c r="B1" s="144" t="s">
        <v>325</v>
      </c>
      <c r="C1" s="308">
        <f>Invoertabblad!C2</f>
        <v>0</v>
      </c>
    </row>
    <row r="2" spans="2:26" x14ac:dyDescent="0.25">
      <c r="B2" s="144" t="str">
        <f>Invoertabblad!B3</f>
        <v>Rapportage kenmerk:</v>
      </c>
      <c r="C2" s="213">
        <f>Invoertabblad!C3</f>
        <v>0</v>
      </c>
    </row>
    <row r="3" spans="2:26" x14ac:dyDescent="0.25">
      <c r="B3" s="144" t="str">
        <f>Invoertabblad!B4</f>
        <v xml:space="preserve">Rapportage datum: </v>
      </c>
      <c r="C3" s="214">
        <f>Invoertabblad!C4</f>
        <v>0</v>
      </c>
    </row>
    <row r="4" spans="2:26" x14ac:dyDescent="0.25">
      <c r="B4" s="144" t="str">
        <f>Invoertabblad!B5</f>
        <v>Datum baggertoetsformulier:</v>
      </c>
      <c r="C4" s="214">
        <f ca="1">TODAY()</f>
        <v>46041</v>
      </c>
    </row>
    <row r="7" spans="2:26" ht="13.8" thickBot="1" x14ac:dyDescent="0.3">
      <c r="S7" s="282" t="s">
        <v>474</v>
      </c>
      <c r="T7" s="282" t="s">
        <v>475</v>
      </c>
      <c r="U7" s="282"/>
    </row>
    <row r="8" spans="2:26" ht="13.8" thickBot="1" x14ac:dyDescent="0.3">
      <c r="B8" s="186"/>
      <c r="C8" s="164"/>
      <c r="D8" s="164"/>
      <c r="E8" s="164"/>
      <c r="F8" s="364" t="s">
        <v>460</v>
      </c>
      <c r="G8" s="364"/>
      <c r="H8" s="365"/>
      <c r="I8" s="289" t="s">
        <v>473</v>
      </c>
      <c r="J8" s="289"/>
      <c r="K8" s="289"/>
      <c r="L8" s="290"/>
      <c r="R8" s="291" t="s">
        <v>470</v>
      </c>
      <c r="S8" s="288" t="str" cm="1">
        <f t="array" ref="S8">_xlfn.IFS(S10&gt;0,"Niet verspreidbaar","WAAR","Wel verspreidbaar")</f>
        <v>Wel verspreidbaar</v>
      </c>
      <c r="T8" s="288" t="str" cm="1">
        <f t="array" ref="T8">_xlfn.IFS(T10&gt;0,"Niet verspreidbaar","WAAR","Wel verspreidbaar")</f>
        <v>Wel verspreidbaar</v>
      </c>
      <c r="U8" s="282"/>
      <c r="V8" s="282" t="s">
        <v>467</v>
      </c>
      <c r="W8" s="292"/>
      <c r="X8" s="292"/>
      <c r="Y8" s="292"/>
      <c r="Z8" s="292"/>
    </row>
    <row r="9" spans="2:26" ht="26.4" x14ac:dyDescent="0.25">
      <c r="B9" s="187" t="str">
        <f>standaardisering!B15</f>
        <v>Metalen</v>
      </c>
      <c r="C9" s="173" t="str">
        <f>standaardisering!C15</f>
        <v>rapportagegrens</v>
      </c>
      <c r="D9" s="173" t="str">
        <f>standaardisering!I15</f>
        <v>gestandaardiseerd gehalte</v>
      </c>
      <c r="E9" s="172" t="str">
        <f>standaardisering!K15</f>
        <v>Eenheid</v>
      </c>
      <c r="F9" s="172">
        <v>2</v>
      </c>
      <c r="G9" s="172">
        <v>3</v>
      </c>
      <c r="H9" s="174" t="s">
        <v>483</v>
      </c>
      <c r="I9" s="293" t="s">
        <v>472</v>
      </c>
      <c r="J9" s="293" t="s">
        <v>471</v>
      </c>
      <c r="K9" s="293"/>
      <c r="L9" s="294" t="s">
        <v>466</v>
      </c>
      <c r="Q9" s="291"/>
      <c r="R9" s="291" t="s">
        <v>479</v>
      </c>
      <c r="S9" s="286">
        <f>COUNTIF(H10:H85, "verspreidbaar")</f>
        <v>35</v>
      </c>
      <c r="T9" s="286">
        <f>COUNTIF(L10:L85, "Verspreidbaar")</f>
        <v>31</v>
      </c>
      <c r="U9" s="286"/>
      <c r="V9" s="288">
        <v>6</v>
      </c>
      <c r="W9" s="288">
        <v>1</v>
      </c>
    </row>
    <row r="10" spans="2:26" x14ac:dyDescent="0.25">
      <c r="B10" s="188" t="str">
        <f>standaardisering!B16</f>
        <v>Arseen (As)</v>
      </c>
      <c r="C10" s="162">
        <f>standaardisering!C16</f>
        <v>0</v>
      </c>
      <c r="D10" s="170">
        <f>standaardisering!I16</f>
        <v>0</v>
      </c>
      <c r="E10" s="162" t="str">
        <f>standaardisering!K16</f>
        <v>mg/kg ds</v>
      </c>
      <c r="G10" s="162">
        <v>29</v>
      </c>
      <c r="H10" s="169" t="str">
        <f>IF(D10&gt;G10,"Niet verspreidbaar","Verspreidbaar")</f>
        <v>Verspreidbaar</v>
      </c>
      <c r="L10" s="295" t="str">
        <f>H10</f>
        <v>Verspreidbaar</v>
      </c>
      <c r="R10" s="291" t="s">
        <v>480</v>
      </c>
      <c r="S10" s="286">
        <f>COUNTIF(H10:H85, "Niet verspreidbaar")</f>
        <v>0</v>
      </c>
      <c r="T10" s="286">
        <f>COUNTIF(L10:L85, "Niet verspreidbaar")</f>
        <v>0</v>
      </c>
      <c r="U10" s="286"/>
      <c r="V10" s="288">
        <v>15</v>
      </c>
      <c r="W10" s="288">
        <v>2</v>
      </c>
    </row>
    <row r="11" spans="2:26" x14ac:dyDescent="0.25">
      <c r="B11" s="188" t="str">
        <f>standaardisering!B17</f>
        <v>Barium (Ba)</v>
      </c>
      <c r="C11" s="162">
        <f>standaardisering!C17</f>
        <v>0</v>
      </c>
      <c r="D11" s="170">
        <f>standaardisering!I17</f>
        <v>0</v>
      </c>
      <c r="E11" s="162" t="str">
        <f>standaardisering!K17</f>
        <v>mg/kg ds</v>
      </c>
      <c r="H11" s="200" t="str">
        <f>IF(D11&gt;625,"check antropogene oorzaak barium"," ")</f>
        <v xml:space="preserve"> </v>
      </c>
      <c r="L11" s="295"/>
      <c r="R11" s="291"/>
      <c r="S11" s="286"/>
      <c r="T11" s="286"/>
      <c r="U11" s="286"/>
      <c r="V11" s="288">
        <v>26</v>
      </c>
      <c r="W11" s="288">
        <v>3</v>
      </c>
    </row>
    <row r="12" spans="2:26" x14ac:dyDescent="0.25">
      <c r="B12" s="188" t="str">
        <f>standaardisering!B18</f>
        <v>Cadmium (Cd)</v>
      </c>
      <c r="C12" s="162">
        <f>standaardisering!C18</f>
        <v>0</v>
      </c>
      <c r="D12" s="175">
        <f>standaardisering!I18</f>
        <v>0</v>
      </c>
      <c r="E12" s="162" t="str">
        <f>standaardisering!K18</f>
        <v>mg/kg ds</v>
      </c>
      <c r="G12" s="162">
        <v>4</v>
      </c>
      <c r="H12" s="200" t="str">
        <f t="shared" ref="H12:H20" si="0">IF(D12&gt;G12,"Niet verspreidbaar","Verspreidbaar")</f>
        <v>Verspreidbaar</v>
      </c>
      <c r="L12" s="295" t="str">
        <f>H12</f>
        <v>Verspreidbaar</v>
      </c>
      <c r="R12" s="291"/>
      <c r="S12" s="286"/>
      <c r="T12" s="286"/>
      <c r="U12" s="286"/>
      <c r="V12" s="288">
        <v>36</v>
      </c>
      <c r="W12" s="288">
        <v>4</v>
      </c>
    </row>
    <row r="13" spans="2:26" x14ac:dyDescent="0.25">
      <c r="B13" s="188" t="str">
        <f>standaardisering!B19</f>
        <v>Kobalt (Co)</v>
      </c>
      <c r="C13" s="162">
        <f>standaardisering!C19</f>
        <v>0</v>
      </c>
      <c r="D13" s="170">
        <f>standaardisering!I19</f>
        <v>0</v>
      </c>
      <c r="E13" s="162" t="str">
        <f>standaardisering!K19</f>
        <v>mg/kg ds</v>
      </c>
      <c r="G13" s="162">
        <v>25</v>
      </c>
      <c r="H13" s="169" t="str">
        <f t="shared" si="0"/>
        <v>Verspreidbaar</v>
      </c>
      <c r="L13" s="295" t="str">
        <f t="shared" ref="L13:L20" si="1">H13</f>
        <v>Verspreidbaar</v>
      </c>
      <c r="R13" s="291" t="s">
        <v>469</v>
      </c>
      <c r="S13" s="292">
        <f>SUM(S9:S12)</f>
        <v>35</v>
      </c>
      <c r="T13" s="292">
        <f>SUM(T9:T12)</f>
        <v>31</v>
      </c>
      <c r="U13" s="292"/>
      <c r="V13" s="282" t="s">
        <v>468</v>
      </c>
      <c r="W13" s="288">
        <v>5</v>
      </c>
    </row>
    <row r="14" spans="2:26" x14ac:dyDescent="0.25">
      <c r="B14" s="188" t="str">
        <f>standaardisering!B20</f>
        <v>Koper (Cu)</v>
      </c>
      <c r="C14" s="162">
        <f>standaardisering!C20</f>
        <v>0</v>
      </c>
      <c r="D14" s="170">
        <f>standaardisering!I20</f>
        <v>0</v>
      </c>
      <c r="E14" s="162" t="str">
        <f>standaardisering!K20</f>
        <v>mg/kg ds</v>
      </c>
      <c r="G14" s="162">
        <v>96</v>
      </c>
      <c r="H14" s="169" t="str">
        <f t="shared" si="0"/>
        <v>Verspreidbaar</v>
      </c>
      <c r="L14" s="295" t="str">
        <f t="shared" si="1"/>
        <v>Verspreidbaar</v>
      </c>
      <c r="R14" s="291" t="s">
        <v>476</v>
      </c>
      <c r="S14" s="288" cm="1">
        <f t="array" ref="S14">_xlfn.IFS(S13&gt;36.9,5,S13&gt;26.9,4,S13&gt;15.9,3,S13&gt;6.9,2, S13&gt;1.9,1,TRUE,0)</f>
        <v>4</v>
      </c>
      <c r="T14" s="291"/>
      <c r="U14" s="291"/>
    </row>
    <row r="15" spans="2:26" x14ac:dyDescent="0.25">
      <c r="B15" s="188" t="str">
        <f>standaardisering!B21</f>
        <v>Kwik (Hg)</v>
      </c>
      <c r="C15" s="162">
        <f>standaardisering!C21</f>
        <v>0</v>
      </c>
      <c r="D15" s="170">
        <f>standaardisering!I21</f>
        <v>0</v>
      </c>
      <c r="E15" s="162" t="str">
        <f>standaardisering!K21</f>
        <v>mg/kg ds</v>
      </c>
      <c r="G15" s="162">
        <v>1.2</v>
      </c>
      <c r="H15" s="169" t="str">
        <f t="shared" si="0"/>
        <v>Verspreidbaar</v>
      </c>
      <c r="L15" s="295" t="str">
        <f t="shared" si="1"/>
        <v>Verspreidbaar</v>
      </c>
    </row>
    <row r="16" spans="2:26" x14ac:dyDescent="0.25">
      <c r="B16" s="188" t="str">
        <f>standaardisering!B22</f>
        <v>Lood (Pb)</v>
      </c>
      <c r="C16" s="162">
        <f>standaardisering!C22</f>
        <v>0</v>
      </c>
      <c r="D16" s="170">
        <f>standaardisering!I22</f>
        <v>0</v>
      </c>
      <c r="E16" s="162" t="str">
        <f>standaardisering!K22</f>
        <v>mg/kg ds</v>
      </c>
      <c r="G16" s="162">
        <v>138</v>
      </c>
      <c r="H16" s="169" t="str">
        <f t="shared" si="0"/>
        <v>Verspreidbaar</v>
      </c>
      <c r="L16" s="295" t="str">
        <f t="shared" si="1"/>
        <v>Verspreidbaar</v>
      </c>
      <c r="R16" s="288" t="str" cm="1">
        <f t="array" ref="R16">_xlfn.IFS(S14&gt;S10,T8,S14&lt;S10,S8,S14=S10,T8)</f>
        <v>Wel verspreidbaar</v>
      </c>
    </row>
    <row r="17" spans="2:21" x14ac:dyDescent="0.25">
      <c r="B17" s="188" t="str">
        <f>standaardisering!B23</f>
        <v>Molybdeen (Mo)</v>
      </c>
      <c r="C17" s="162">
        <f>standaardisering!C23</f>
        <v>0</v>
      </c>
      <c r="D17" s="179">
        <f>standaardisering!I23</f>
        <v>0</v>
      </c>
      <c r="E17" s="162" t="str">
        <f>standaardisering!K23</f>
        <v>mg/kg ds</v>
      </c>
      <c r="G17" s="162">
        <v>5</v>
      </c>
      <c r="H17" s="169" t="str">
        <f t="shared" si="0"/>
        <v>Verspreidbaar</v>
      </c>
      <c r="L17" s="295" t="str">
        <f t="shared" si="1"/>
        <v>Verspreidbaar</v>
      </c>
      <c r="R17" s="282"/>
    </row>
    <row r="18" spans="2:21" x14ac:dyDescent="0.25">
      <c r="B18" s="188" t="str">
        <f>standaardisering!B24</f>
        <v>Nikkel (Ni)</v>
      </c>
      <c r="C18" s="162">
        <f>standaardisering!C24</f>
        <v>0</v>
      </c>
      <c r="D18" s="170">
        <f>standaardisering!I24</f>
        <v>0</v>
      </c>
      <c r="E18" s="162" t="str">
        <f>standaardisering!K24</f>
        <v>mg/kg ds</v>
      </c>
      <c r="G18" s="162">
        <v>50</v>
      </c>
      <c r="H18" s="169" t="str">
        <f t="shared" si="0"/>
        <v>Verspreidbaar</v>
      </c>
      <c r="L18" s="295" t="str">
        <f t="shared" si="1"/>
        <v>Verspreidbaar</v>
      </c>
      <c r="R18" s="282"/>
    </row>
    <row r="19" spans="2:21" x14ac:dyDescent="0.25">
      <c r="B19" s="188" t="str">
        <f>standaardisering!B25</f>
        <v>Zink (Zn)</v>
      </c>
      <c r="C19" s="162">
        <f>standaardisering!C25</f>
        <v>0</v>
      </c>
      <c r="D19" s="170">
        <f>standaardisering!I25</f>
        <v>0</v>
      </c>
      <c r="E19" s="162" t="str">
        <f>standaardisering!K25</f>
        <v>mg/kg ds</v>
      </c>
      <c r="G19" s="162">
        <v>563</v>
      </c>
      <c r="H19" s="169" t="str">
        <f t="shared" si="0"/>
        <v>Verspreidbaar</v>
      </c>
      <c r="L19" s="295" t="str">
        <f t="shared" si="1"/>
        <v>Verspreidbaar</v>
      </c>
      <c r="S19" s="282"/>
    </row>
    <row r="20" spans="2:21" x14ac:dyDescent="0.25">
      <c r="B20" s="188" t="str">
        <f>standaardisering!B26</f>
        <v>Chroom (Cr)</v>
      </c>
      <c r="C20" s="162">
        <f>standaardisering!C26</f>
        <v>0</v>
      </c>
      <c r="D20" s="170">
        <f>standaardisering!I26</f>
        <v>0</v>
      </c>
      <c r="E20" s="162" t="str">
        <f>standaardisering!K26</f>
        <v>mg/kg ds</v>
      </c>
      <c r="G20" s="162">
        <v>120</v>
      </c>
      <c r="H20" s="169" t="str">
        <f t="shared" si="0"/>
        <v>Verspreidbaar</v>
      </c>
      <c r="L20" s="295" t="str">
        <f t="shared" si="1"/>
        <v>Verspreidbaar</v>
      </c>
    </row>
    <row r="21" spans="2:21" x14ac:dyDescent="0.25">
      <c r="B21" s="188"/>
      <c r="H21" s="169"/>
      <c r="L21" s="295"/>
      <c r="S21" s="282"/>
      <c r="T21" s="282"/>
      <c r="U21" s="282"/>
    </row>
    <row r="22" spans="2:21" x14ac:dyDescent="0.25">
      <c r="B22" s="187" t="str">
        <f>standaardisering!B28</f>
        <v>Overige anorganische stoffen</v>
      </c>
      <c r="C22" s="162">
        <f>standaardisering!C28</f>
        <v>0</v>
      </c>
      <c r="H22" s="169"/>
      <c r="L22" s="295"/>
    </row>
    <row r="23" spans="2:21" x14ac:dyDescent="0.25">
      <c r="B23" s="188" t="str">
        <f>standaardisering!B29</f>
        <v>cyanide (vrij)</v>
      </c>
      <c r="C23" s="162">
        <f>standaardisering!C29</f>
        <v>0</v>
      </c>
      <c r="D23" s="162">
        <f>standaardisering!I29</f>
        <v>0</v>
      </c>
      <c r="E23" s="162" t="str">
        <f>standaardisering!K29</f>
        <v>mg/kg ds</v>
      </c>
      <c r="F23" s="162">
        <v>3</v>
      </c>
      <c r="H23" s="169" t="str">
        <f>IF(D23&gt;F23,"Niet verspreidbaar","Verspreidbaar")</f>
        <v>Verspreidbaar</v>
      </c>
      <c r="I23" s="288">
        <v>3</v>
      </c>
      <c r="J23" s="288">
        <f>F23*2</f>
        <v>6</v>
      </c>
      <c r="K23" s="288">
        <f t="shared" ref="K23:K25" si="2">SMALL(I23:J23,1)</f>
        <v>3</v>
      </c>
      <c r="L23" s="295" t="str">
        <f>IF(D23&gt;K23,"Niet verspreidbaar","Verspreidbaar")</f>
        <v>Verspreidbaar</v>
      </c>
    </row>
    <row r="24" spans="2:21" x14ac:dyDescent="0.25">
      <c r="B24" s="188" t="str">
        <f>standaardisering!B30</f>
        <v>cyanide (complex)</v>
      </c>
      <c r="C24" s="162">
        <f>standaardisering!C30</f>
        <v>0</v>
      </c>
      <c r="D24" s="162">
        <f>standaardisering!I30</f>
        <v>0</v>
      </c>
      <c r="E24" s="162" t="str">
        <f>standaardisering!K30</f>
        <v>mg/kg ds</v>
      </c>
      <c r="F24" s="162">
        <v>5.5</v>
      </c>
      <c r="H24" s="169" t="str">
        <f>IF(D24&gt;F24,"Niet verspreidbaar","Verspreidbaar")</f>
        <v>Verspreidbaar</v>
      </c>
      <c r="I24" s="288">
        <v>5.5</v>
      </c>
      <c r="J24" s="288">
        <f>F24*2</f>
        <v>11</v>
      </c>
      <c r="K24" s="288">
        <f t="shared" si="2"/>
        <v>5.5</v>
      </c>
      <c r="L24" s="295" t="str">
        <f>IF(D24&gt;K24,"Niet verspreidbaar","Verspreidbaar")</f>
        <v>Verspreidbaar</v>
      </c>
    </row>
    <row r="25" spans="2:21" x14ac:dyDescent="0.25">
      <c r="B25" s="188" t="str">
        <f>standaardisering!B31</f>
        <v>Thiocyanaten</v>
      </c>
      <c r="C25" s="162">
        <f>standaardisering!C31</f>
        <v>0</v>
      </c>
      <c r="D25" s="162">
        <f>standaardisering!I31</f>
        <v>0</v>
      </c>
      <c r="E25" s="162" t="str">
        <f>standaardisering!K31</f>
        <v>mg/kg ds</v>
      </c>
      <c r="F25" s="162">
        <v>6</v>
      </c>
      <c r="H25" s="169" t="str">
        <f>IF(D25&gt;F25,"Niet verspreidbaar","Verspreidbaar")</f>
        <v>Verspreidbaar</v>
      </c>
      <c r="I25" s="288">
        <v>6</v>
      </c>
      <c r="J25" s="288">
        <f>F25*2</f>
        <v>12</v>
      </c>
      <c r="K25" s="288">
        <f t="shared" si="2"/>
        <v>6</v>
      </c>
      <c r="L25" s="295" t="str">
        <f>IF(D25&gt;K25,"Niet verspreidbaar","Verspreidbaar")</f>
        <v>Verspreidbaar</v>
      </c>
    </row>
    <row r="26" spans="2:21" x14ac:dyDescent="0.25">
      <c r="B26" s="188"/>
      <c r="H26" s="169"/>
      <c r="L26" s="295"/>
    </row>
    <row r="27" spans="2:21" x14ac:dyDescent="0.25">
      <c r="B27" s="187" t="str">
        <f>standaardisering!B33</f>
        <v>Asbest</v>
      </c>
      <c r="C27" s="162">
        <f>standaardisering!C33</f>
        <v>0</v>
      </c>
      <c r="D27" s="162">
        <f>standaardisering!I33</f>
        <v>0</v>
      </c>
      <c r="E27" s="162" t="str">
        <f>standaardisering!K33</f>
        <v>mg/kg ds</v>
      </c>
      <c r="G27" s="162">
        <v>100</v>
      </c>
      <c r="H27" s="169"/>
      <c r="L27" s="295"/>
    </row>
    <row r="28" spans="2:21" x14ac:dyDescent="0.25">
      <c r="B28" s="188"/>
      <c r="H28" s="169"/>
      <c r="L28" s="295"/>
    </row>
    <row r="29" spans="2:21" x14ac:dyDescent="0.25">
      <c r="B29" s="187" t="str">
        <f>standaardisering!B35</f>
        <v>PAK10</v>
      </c>
      <c r="C29" s="162">
        <f>standaardisering!C35</f>
        <v>0</v>
      </c>
      <c r="H29" s="169"/>
      <c r="L29" s="295"/>
    </row>
    <row r="30" spans="2:21" x14ac:dyDescent="0.25">
      <c r="B30" s="188" t="str">
        <f>standaardisering!B36</f>
        <v>Naftaleen</v>
      </c>
      <c r="C30" s="162">
        <f>standaardisering!C36</f>
        <v>0</v>
      </c>
      <c r="D30" s="170">
        <f>standaardisering!J36</f>
        <v>0</v>
      </c>
      <c r="E30" s="162" t="str">
        <f>standaardisering!K36</f>
        <v>mg/kg ds</v>
      </c>
      <c r="H30" s="169"/>
      <c r="L30" s="295"/>
    </row>
    <row r="31" spans="2:21" x14ac:dyDescent="0.25">
      <c r="B31" s="188" t="str">
        <f>standaardisering!B37</f>
        <v>Antraceen</v>
      </c>
      <c r="C31" s="162">
        <f>standaardisering!C37</f>
        <v>0</v>
      </c>
      <c r="D31" s="170">
        <f>standaardisering!J37</f>
        <v>0</v>
      </c>
      <c r="E31" s="162" t="str">
        <f>standaardisering!K37</f>
        <v>mg/kg ds</v>
      </c>
      <c r="H31" s="169"/>
      <c r="L31" s="295"/>
    </row>
    <row r="32" spans="2:21" x14ac:dyDescent="0.25">
      <c r="B32" s="188" t="str">
        <f>standaardisering!B38</f>
        <v>Fenantreen</v>
      </c>
      <c r="C32" s="162">
        <f>standaardisering!C38</f>
        <v>0</v>
      </c>
      <c r="D32" s="170">
        <f>standaardisering!J38</f>
        <v>0</v>
      </c>
      <c r="E32" s="162" t="str">
        <f>standaardisering!K38</f>
        <v>mg/kg ds</v>
      </c>
      <c r="H32" s="169"/>
      <c r="L32" s="295"/>
    </row>
    <row r="33" spans="2:12" x14ac:dyDescent="0.25">
      <c r="B33" s="188" t="str">
        <f>standaardisering!B39</f>
        <v>Fluoranteen</v>
      </c>
      <c r="C33" s="162">
        <f>standaardisering!C39</f>
        <v>0</v>
      </c>
      <c r="D33" s="170">
        <f>standaardisering!J39</f>
        <v>0</v>
      </c>
      <c r="E33" s="162" t="str">
        <f>standaardisering!K39</f>
        <v>mg/kg ds</v>
      </c>
      <c r="H33" s="169"/>
      <c r="L33" s="295"/>
    </row>
    <row r="34" spans="2:12" x14ac:dyDescent="0.25">
      <c r="B34" s="188" t="str">
        <f>standaardisering!B40</f>
        <v>Benzo(a)anthraceen</v>
      </c>
      <c r="C34" s="162">
        <f>standaardisering!C40</f>
        <v>0</v>
      </c>
      <c r="D34" s="170">
        <f>standaardisering!J40</f>
        <v>0</v>
      </c>
      <c r="E34" s="162" t="str">
        <f>standaardisering!K40</f>
        <v>mg/kg ds</v>
      </c>
      <c r="H34" s="169"/>
      <c r="L34" s="295"/>
    </row>
    <row r="35" spans="2:12" x14ac:dyDescent="0.25">
      <c r="B35" s="188" t="str">
        <f>standaardisering!B41</f>
        <v>Chryseen</v>
      </c>
      <c r="C35" s="162">
        <f>standaardisering!C41</f>
        <v>0</v>
      </c>
      <c r="D35" s="170">
        <f>standaardisering!J41</f>
        <v>0</v>
      </c>
      <c r="E35" s="162" t="str">
        <f>standaardisering!K41</f>
        <v>mg/kg ds</v>
      </c>
      <c r="H35" s="169"/>
      <c r="L35" s="295"/>
    </row>
    <row r="36" spans="2:12" x14ac:dyDescent="0.25">
      <c r="B36" s="188" t="str">
        <f>standaardisering!B42</f>
        <v>Benzo(k)fluorantheen</v>
      </c>
      <c r="C36" s="162">
        <f>standaardisering!C42</f>
        <v>0</v>
      </c>
      <c r="D36" s="170">
        <f>standaardisering!J42</f>
        <v>0</v>
      </c>
      <c r="E36" s="162" t="str">
        <f>standaardisering!K42</f>
        <v>mg/kg ds</v>
      </c>
      <c r="H36" s="169"/>
      <c r="L36" s="295"/>
    </row>
    <row r="37" spans="2:12" x14ac:dyDescent="0.25">
      <c r="B37" s="188" t="str">
        <f>standaardisering!B43</f>
        <v>Benzo(a)pyreen</v>
      </c>
      <c r="C37" s="162">
        <f>standaardisering!C43</f>
        <v>0</v>
      </c>
      <c r="D37" s="170">
        <f>standaardisering!J43</f>
        <v>0</v>
      </c>
      <c r="E37" s="162" t="str">
        <f>standaardisering!K43</f>
        <v>mg/kg ds</v>
      </c>
      <c r="H37" s="169"/>
      <c r="L37" s="295"/>
    </row>
    <row r="38" spans="2:12" x14ac:dyDescent="0.25">
      <c r="B38" s="188" t="str">
        <f>standaardisering!B44</f>
        <v>Benzo(ghi)peryleen</v>
      </c>
      <c r="C38" s="162">
        <f>standaardisering!C44</f>
        <v>0</v>
      </c>
      <c r="D38" s="170">
        <f>standaardisering!J44</f>
        <v>0</v>
      </c>
      <c r="E38" s="162" t="str">
        <f>standaardisering!K44</f>
        <v>mg/kg ds</v>
      </c>
      <c r="H38" s="169"/>
      <c r="L38" s="295"/>
    </row>
    <row r="39" spans="2:12" x14ac:dyDescent="0.25">
      <c r="B39" s="188" t="str">
        <f>standaardisering!B45</f>
        <v>Indeen(1,2,3-cd)pyreen</v>
      </c>
      <c r="C39" s="162">
        <f>standaardisering!C45</f>
        <v>0</v>
      </c>
      <c r="D39" s="170">
        <f>standaardisering!J45</f>
        <v>0</v>
      </c>
      <c r="E39" s="162" t="str">
        <f>standaardisering!K45</f>
        <v>mg/kg ds</v>
      </c>
      <c r="H39" s="169"/>
      <c r="L39" s="295"/>
    </row>
    <row r="40" spans="2:12" x14ac:dyDescent="0.25">
      <c r="B40" s="188" t="str">
        <f>standaardisering!B46</f>
        <v>PAK (10 som)</v>
      </c>
      <c r="C40" s="162">
        <f>standaardisering!C46</f>
        <v>0</v>
      </c>
      <c r="D40" s="170">
        <f>standaardisering!J46</f>
        <v>0</v>
      </c>
      <c r="E40" s="162" t="str">
        <f>standaardisering!K46</f>
        <v>mg/kg ds</v>
      </c>
      <c r="G40" s="162">
        <v>9</v>
      </c>
      <c r="H40" s="169" t="str">
        <f>IF(D40&gt;G40,"Niet verspreidbaar","Verspreidbaar")</f>
        <v>Verspreidbaar</v>
      </c>
      <c r="I40" s="288">
        <v>6.8</v>
      </c>
      <c r="J40" s="288">
        <f>G40*2</f>
        <v>18</v>
      </c>
      <c r="K40" s="288">
        <f t="shared" ref="K40:K84" si="3">SMALL(I40:J40,1)</f>
        <v>6.8</v>
      </c>
      <c r="L40" s="295" t="str">
        <f>H40</f>
        <v>Verspreidbaar</v>
      </c>
    </row>
    <row r="41" spans="2:12" x14ac:dyDescent="0.25">
      <c r="B41" s="188"/>
      <c r="H41" s="169"/>
      <c r="L41" s="295"/>
    </row>
    <row r="42" spans="2:12" x14ac:dyDescent="0.25">
      <c r="B42" s="187" t="str">
        <f>standaardisering!B48</f>
        <v>Minerale olie</v>
      </c>
      <c r="C42" s="162">
        <f>standaardisering!C48</f>
        <v>0</v>
      </c>
      <c r="D42" s="170">
        <f>standaardisering!I48</f>
        <v>0</v>
      </c>
      <c r="E42" s="162" t="str">
        <f>standaardisering!K48</f>
        <v>mg/kg ds</v>
      </c>
      <c r="G42" s="162">
        <v>1250</v>
      </c>
      <c r="H42" s="169" t="str">
        <f>IF(D42&gt;G42,"Niet verspreidbaar","Verspreidbaar")</f>
        <v>Verspreidbaar</v>
      </c>
      <c r="I42" s="288">
        <v>190</v>
      </c>
      <c r="J42" s="288">
        <f>F42*2</f>
        <v>0</v>
      </c>
      <c r="K42" s="288">
        <f t="shared" si="3"/>
        <v>0</v>
      </c>
      <c r="L42" s="295" t="str">
        <f>H42</f>
        <v>Verspreidbaar</v>
      </c>
    </row>
    <row r="43" spans="2:12" x14ac:dyDescent="0.25">
      <c r="B43" s="188"/>
      <c r="H43" s="169"/>
      <c r="L43" s="295"/>
    </row>
    <row r="44" spans="2:12" x14ac:dyDescent="0.25">
      <c r="B44" s="187" t="str">
        <f>standaardisering!B50</f>
        <v>Gechloreerde koolwaterstoffen</v>
      </c>
      <c r="C44" s="162">
        <f>standaardisering!C50</f>
        <v>0</v>
      </c>
      <c r="H44" s="169"/>
      <c r="L44" s="295"/>
    </row>
    <row r="45" spans="2:12" x14ac:dyDescent="0.25">
      <c r="B45" s="188" t="str">
        <f>standaardisering!B51</f>
        <v>PCB28</v>
      </c>
      <c r="C45" s="162">
        <f>standaardisering!C51</f>
        <v>0</v>
      </c>
      <c r="D45" s="181">
        <f>standaardisering!I51</f>
        <v>0</v>
      </c>
      <c r="E45" s="162" t="str">
        <f>standaardisering!K51</f>
        <v>mg/kg ds</v>
      </c>
      <c r="G45" s="162">
        <v>1.4E-2</v>
      </c>
      <c r="H45" s="169"/>
      <c r="L45" s="295"/>
    </row>
    <row r="46" spans="2:12" x14ac:dyDescent="0.25">
      <c r="B46" s="188" t="str">
        <f>standaardisering!B52</f>
        <v>PCB52</v>
      </c>
      <c r="C46" s="162">
        <f>standaardisering!C52</f>
        <v>0</v>
      </c>
      <c r="D46" s="181">
        <f>standaardisering!I52</f>
        <v>0</v>
      </c>
      <c r="E46" s="162" t="str">
        <f>standaardisering!K52</f>
        <v>mg/kg ds</v>
      </c>
      <c r="G46" s="162">
        <v>1.4999999999999999E-2</v>
      </c>
      <c r="H46" s="169"/>
      <c r="L46" s="295"/>
    </row>
    <row r="47" spans="2:12" x14ac:dyDescent="0.25">
      <c r="B47" s="188" t="str">
        <f>standaardisering!B53</f>
        <v>PCB101</v>
      </c>
      <c r="C47" s="162">
        <f>standaardisering!C53</f>
        <v>0</v>
      </c>
      <c r="D47" s="181">
        <f>standaardisering!I53</f>
        <v>0</v>
      </c>
      <c r="E47" s="162" t="str">
        <f>standaardisering!K53</f>
        <v>mg/kg ds</v>
      </c>
      <c r="G47" s="162">
        <v>2.3E-2</v>
      </c>
      <c r="H47" s="169"/>
      <c r="L47" s="295"/>
    </row>
    <row r="48" spans="2:12" x14ac:dyDescent="0.25">
      <c r="B48" s="188" t="str">
        <f>standaardisering!B54</f>
        <v>PCB118</v>
      </c>
      <c r="C48" s="162">
        <f>standaardisering!C54</f>
        <v>0</v>
      </c>
      <c r="D48" s="181">
        <f>standaardisering!I54</f>
        <v>0</v>
      </c>
      <c r="E48" s="162" t="str">
        <f>standaardisering!K54</f>
        <v>mg/kg ds</v>
      </c>
      <c r="G48" s="162">
        <v>1.6E-2</v>
      </c>
      <c r="H48" s="169"/>
      <c r="L48" s="295"/>
    </row>
    <row r="49" spans="2:12" x14ac:dyDescent="0.25">
      <c r="B49" s="188" t="str">
        <f>standaardisering!B55</f>
        <v>PCB138</v>
      </c>
      <c r="C49" s="162">
        <f>standaardisering!C55</f>
        <v>0</v>
      </c>
      <c r="D49" s="181">
        <f>standaardisering!I55</f>
        <v>0</v>
      </c>
      <c r="E49" s="162" t="str">
        <f>standaardisering!K55</f>
        <v>mg/kg ds</v>
      </c>
      <c r="G49" s="162">
        <v>2.7E-2</v>
      </c>
      <c r="H49" s="169"/>
      <c r="L49" s="295"/>
    </row>
    <row r="50" spans="2:12" x14ac:dyDescent="0.25">
      <c r="B50" s="188" t="str">
        <f>standaardisering!B56</f>
        <v>PCB153</v>
      </c>
      <c r="C50" s="162">
        <f>standaardisering!C56</f>
        <v>0</v>
      </c>
      <c r="D50" s="181">
        <f>standaardisering!I56</f>
        <v>0</v>
      </c>
      <c r="E50" s="162" t="str">
        <f>standaardisering!K56</f>
        <v>mg/kg ds</v>
      </c>
      <c r="G50" s="162">
        <v>3.3000000000000002E-2</v>
      </c>
      <c r="H50" s="169"/>
      <c r="L50" s="295"/>
    </row>
    <row r="51" spans="2:12" x14ac:dyDescent="0.25">
      <c r="B51" s="188" t="str">
        <f>standaardisering!B57</f>
        <v>PCB180</v>
      </c>
      <c r="C51" s="162">
        <f>standaardisering!C57</f>
        <v>0</v>
      </c>
      <c r="D51" s="181">
        <f>standaardisering!I57</f>
        <v>0</v>
      </c>
      <c r="E51" s="162" t="str">
        <f>standaardisering!K57</f>
        <v>mg/kg ds</v>
      </c>
      <c r="G51" s="162">
        <v>1.7999999999999999E-2</v>
      </c>
      <c r="H51" s="169"/>
      <c r="L51" s="295"/>
    </row>
    <row r="52" spans="2:12" x14ac:dyDescent="0.25">
      <c r="B52" s="188" t="str">
        <f>standaardisering!B58</f>
        <v>PCBs (som 7)</v>
      </c>
      <c r="C52" s="162">
        <f>standaardisering!C58</f>
        <v>0</v>
      </c>
      <c r="D52" s="162">
        <f>standaardisering!I58</f>
        <v>0</v>
      </c>
      <c r="E52" s="162" t="str">
        <f>standaardisering!K58</f>
        <v>mg/kg ds</v>
      </c>
      <c r="G52" s="162">
        <v>0.13900000000000001</v>
      </c>
      <c r="H52" s="169" t="str">
        <f>IF(D52&gt;G52,"Niet verspreidbaar","Verspreidbaar")</f>
        <v>Verspreidbaar</v>
      </c>
      <c r="L52" s="295" t="str">
        <f>H52</f>
        <v>Verspreidbaar</v>
      </c>
    </row>
    <row r="53" spans="2:12" x14ac:dyDescent="0.25">
      <c r="B53" s="188" t="str">
        <f>standaardisering!B59</f>
        <v>Chloorbenzenen (som)</v>
      </c>
      <c r="C53" s="162">
        <f>standaardisering!C59</f>
        <v>0</v>
      </c>
      <c r="D53" s="181">
        <f>standaardisering!I59</f>
        <v>0</v>
      </c>
      <c r="E53" s="162" t="str">
        <f>standaardisering!K59</f>
        <v>mg/kg ds</v>
      </c>
      <c r="F53" s="162">
        <v>2</v>
      </c>
      <c r="H53" s="169" t="str">
        <f>IF(D53&gt;F53,"Niet verspreidbaar","Verspreidbaar")</f>
        <v>Verspreidbaar</v>
      </c>
      <c r="J53" s="288">
        <f>F53*2</f>
        <v>4</v>
      </c>
      <c r="K53" s="288">
        <f t="shared" si="3"/>
        <v>4</v>
      </c>
      <c r="L53" s="295" t="str">
        <f>H53</f>
        <v>Verspreidbaar</v>
      </c>
    </row>
    <row r="54" spans="2:12" x14ac:dyDescent="0.25">
      <c r="B54" s="188" t="str">
        <f>standaardisering!B60</f>
        <v>Pentachloorbenzeen</v>
      </c>
      <c r="C54" s="162">
        <f>standaardisering!C60</f>
        <v>0</v>
      </c>
      <c r="D54" s="181">
        <f>standaardisering!I60</f>
        <v>0</v>
      </c>
      <c r="E54" s="162" t="str">
        <f>standaardisering!K60</f>
        <v>mg/kg ds</v>
      </c>
      <c r="G54" s="162">
        <v>7.0000000000000001E-3</v>
      </c>
      <c r="H54" s="169" t="str">
        <f>IF(D54&gt;G54,"Niet verspreidbaar","Verspreidbaar")</f>
        <v>Verspreidbaar</v>
      </c>
      <c r="L54" s="295" t="str">
        <f>H54</f>
        <v>Verspreidbaar</v>
      </c>
    </row>
    <row r="55" spans="2:12" x14ac:dyDescent="0.25">
      <c r="B55" s="188" t="str">
        <f>standaardisering!B61</f>
        <v>Hexachloorbenzeen</v>
      </c>
      <c r="C55" s="162">
        <f>standaardisering!C61</f>
        <v>0</v>
      </c>
      <c r="D55" s="181">
        <f>standaardisering!I61</f>
        <v>0</v>
      </c>
      <c r="E55" s="162" t="str">
        <f>standaardisering!K61</f>
        <v>mg/kg ds</v>
      </c>
      <c r="G55" s="162">
        <v>4.3999999999999997E-2</v>
      </c>
      <c r="H55" s="169" t="str">
        <f>IF(D55&gt;G55,"Niet verspreidbaar","Verspreidbaar")</f>
        <v>Verspreidbaar</v>
      </c>
      <c r="L55" s="295" t="str">
        <f>H55</f>
        <v>Verspreidbaar</v>
      </c>
    </row>
    <row r="56" spans="2:12" x14ac:dyDescent="0.25">
      <c r="B56" s="188" t="str">
        <f>standaardisering!B62</f>
        <v>chloorfenolen (som)</v>
      </c>
      <c r="C56" s="162">
        <f>standaardisering!C62</f>
        <v>0</v>
      </c>
      <c r="D56" s="181">
        <f>standaardisering!I62</f>
        <v>0</v>
      </c>
      <c r="E56" s="162" t="str">
        <f>standaardisering!K62</f>
        <v>mg/kg ds</v>
      </c>
      <c r="F56" s="162">
        <v>0.2</v>
      </c>
      <c r="H56" s="169" t="str">
        <f>IF(D56&gt;F56,"Niet verspreidbaar","Verspreidbaar")</f>
        <v>Verspreidbaar</v>
      </c>
      <c r="J56" s="288">
        <f>F56*2</f>
        <v>0.4</v>
      </c>
      <c r="K56" s="288">
        <f t="shared" si="3"/>
        <v>0.4</v>
      </c>
      <c r="L56" s="295" t="e">
        <f>IF(#REF!&gt;K56,"Niet verspreidbaar","Verspreidbaar")</f>
        <v>#REF!</v>
      </c>
    </row>
    <row r="57" spans="2:12" x14ac:dyDescent="0.25">
      <c r="B57" s="188" t="str">
        <f>standaardisering!B63</f>
        <v>Pentachloorfenol en de zouten en esters daarvan</v>
      </c>
      <c r="C57" s="162">
        <f>standaardisering!C63</f>
        <v>0</v>
      </c>
      <c r="D57" s="181">
        <f>standaardisering!I63</f>
        <v>0</v>
      </c>
      <c r="E57" s="162" t="str">
        <f>standaardisering!K63</f>
        <v>mg/kg ds</v>
      </c>
      <c r="G57" s="162">
        <v>0.16</v>
      </c>
      <c r="H57" s="169" t="str">
        <f>IF(D57&gt;G57,"Niet verspreidbaar","Verspreidbaar")</f>
        <v>Verspreidbaar</v>
      </c>
      <c r="L57" s="295" t="str">
        <f>H57</f>
        <v>Verspreidbaar</v>
      </c>
    </row>
    <row r="58" spans="2:12" x14ac:dyDescent="0.25">
      <c r="B58" s="188"/>
      <c r="H58" s="169"/>
      <c r="L58" s="295"/>
    </row>
    <row r="59" spans="2:12" x14ac:dyDescent="0.25">
      <c r="B59" s="187" t="str">
        <f>standaardisering!B65</f>
        <v xml:space="preserve">Bestrijdingsmiddelen </v>
      </c>
      <c r="C59" s="162" t="str">
        <f>standaardisering!C65</f>
        <v>rapportagegrens</v>
      </c>
      <c r="H59" s="169"/>
      <c r="L59" s="295"/>
    </row>
    <row r="60" spans="2:12" x14ac:dyDescent="0.25">
      <c r="B60" s="188" t="str">
        <f>standaardisering!B66</f>
        <v>Chloordaan (chloordaan (som) kan hiervoor worden ingevuld)</v>
      </c>
      <c r="C60" s="162">
        <f>standaardisering!C66</f>
        <v>0</v>
      </c>
      <c r="D60" s="179">
        <f>standaardisering!I66</f>
        <v>0</v>
      </c>
      <c r="E60" s="162" t="str">
        <f>standaardisering!K66</f>
        <v>mg/kg ds</v>
      </c>
      <c r="F60" s="162">
        <v>2E-3</v>
      </c>
      <c r="H60" s="169" t="str">
        <f>IF(D60&gt;G60,"Niet verspreidbaar","Verspreidbaar")</f>
        <v>Verspreidbaar</v>
      </c>
      <c r="I60" s="288">
        <v>2E-3</v>
      </c>
      <c r="J60" s="288">
        <f>F60*2</f>
        <v>4.0000000000000001E-3</v>
      </c>
      <c r="K60" s="288">
        <f t="shared" si="3"/>
        <v>2E-3</v>
      </c>
      <c r="L60" s="295" t="e">
        <f>IF(#REF!&gt;K60,"Niet verspreidbaar","Verspreidbaar")</f>
        <v>#REF!</v>
      </c>
    </row>
    <row r="61" spans="2:12" x14ac:dyDescent="0.25">
      <c r="B61" s="188" t="str">
        <f>standaardisering!B67</f>
        <v>DDT</v>
      </c>
      <c r="C61" s="162">
        <f>standaardisering!C67</f>
        <v>0</v>
      </c>
      <c r="D61" s="179">
        <f>standaardisering!I67</f>
        <v>0</v>
      </c>
      <c r="E61" s="162" t="str">
        <f>standaardisering!K67</f>
        <v>mg/kg ds</v>
      </c>
      <c r="H61" s="169"/>
      <c r="L61" s="295"/>
    </row>
    <row r="62" spans="2:12" x14ac:dyDescent="0.25">
      <c r="B62" s="188" t="str">
        <f>standaardisering!B68</f>
        <v xml:space="preserve">DDE of 2,2-bis(p-chlorophenyl)-1,1-dichloroethylene </v>
      </c>
      <c r="C62" s="162">
        <f>standaardisering!C68</f>
        <v>0</v>
      </c>
      <c r="D62" s="179">
        <f>standaardisering!I68</f>
        <v>0</v>
      </c>
      <c r="E62" s="162" t="str">
        <f>standaardisering!K68</f>
        <v>mg/kg ds</v>
      </c>
      <c r="H62" s="169"/>
      <c r="L62" s="295"/>
    </row>
    <row r="63" spans="2:12" x14ac:dyDescent="0.25">
      <c r="B63" s="188" t="str">
        <f>standaardisering!B69</f>
        <v>DDD of dichlorodiphenyldichloroethane</v>
      </c>
      <c r="C63" s="162">
        <f>standaardisering!C69</f>
        <v>0</v>
      </c>
      <c r="D63" s="179">
        <f>standaardisering!I69</f>
        <v>0</v>
      </c>
      <c r="E63" s="162" t="str">
        <f>standaardisering!K69</f>
        <v>mg/kg ds</v>
      </c>
      <c r="H63" s="169"/>
      <c r="L63" s="295"/>
    </row>
    <row r="64" spans="2:12" x14ac:dyDescent="0.25">
      <c r="B64" s="188" t="str">
        <f>standaardisering!B70</f>
        <v>DDT/DDE/DDD(som)</v>
      </c>
      <c r="C64" s="162">
        <f>standaardisering!C70</f>
        <v>0</v>
      </c>
      <c r="D64" s="179">
        <f>standaardisering!I70</f>
        <v>0</v>
      </c>
      <c r="E64" s="162" t="str">
        <f>standaardisering!K70</f>
        <v>mg/kg ds</v>
      </c>
      <c r="G64" s="162">
        <v>0.3</v>
      </c>
      <c r="H64" s="169" t="str">
        <f>IF(D64&gt;G64,"Niet verspreidbaar","Verspreidbaar")</f>
        <v>Verspreidbaar</v>
      </c>
      <c r="L64" s="295" t="str">
        <f>H64</f>
        <v>Verspreidbaar</v>
      </c>
    </row>
    <row r="65" spans="2:12" x14ac:dyDescent="0.25">
      <c r="B65" s="188" t="str">
        <f>standaardisering!B71</f>
        <v>Aldrin</v>
      </c>
      <c r="C65" s="162">
        <f>standaardisering!C71</f>
        <v>0</v>
      </c>
      <c r="D65" s="179">
        <f>standaardisering!I71</f>
        <v>0</v>
      </c>
      <c r="E65" s="162" t="str">
        <f>standaardisering!K71</f>
        <v>mg/kg ds</v>
      </c>
      <c r="G65" s="162">
        <v>1.2999999999999999E-3</v>
      </c>
      <c r="H65" s="169"/>
      <c r="L65" s="295"/>
    </row>
    <row r="66" spans="2:12" x14ac:dyDescent="0.25">
      <c r="B66" s="188" t="str">
        <f>standaardisering!B72</f>
        <v>Dieldrin</v>
      </c>
      <c r="C66" s="162">
        <f>standaardisering!C72</f>
        <v>0</v>
      </c>
      <c r="D66" s="179">
        <f>standaardisering!I72</f>
        <v>0</v>
      </c>
      <c r="E66" s="162" t="str">
        <f>standaardisering!K72</f>
        <v>mg/kg ds</v>
      </c>
      <c r="G66" s="162">
        <v>8.0000000000000002E-3</v>
      </c>
      <c r="H66" s="169"/>
      <c r="L66" s="295"/>
    </row>
    <row r="67" spans="2:12" x14ac:dyDescent="0.25">
      <c r="B67" s="188" t="str">
        <f>standaardisering!B73</f>
        <v>Endrin</v>
      </c>
      <c r="C67" s="162">
        <f>standaardisering!C73</f>
        <v>0</v>
      </c>
      <c r="D67" s="179">
        <f>standaardisering!I73</f>
        <v>0</v>
      </c>
      <c r="E67" s="162" t="str">
        <f>standaardisering!K73</f>
        <v>mg/kg ds</v>
      </c>
      <c r="G67" s="162">
        <v>3.5000000000000001E-3</v>
      </c>
      <c r="H67" s="169"/>
      <c r="L67" s="295"/>
    </row>
    <row r="68" spans="2:12" x14ac:dyDescent="0.25">
      <c r="B68" s="188" t="str">
        <f>standaardisering!B74</f>
        <v>Isodrin</v>
      </c>
      <c r="C68" s="162">
        <f>standaardisering!C74</f>
        <v>0</v>
      </c>
      <c r="D68" s="179">
        <f>standaardisering!I74</f>
        <v>0</v>
      </c>
      <c r="E68" s="162" t="str">
        <f>standaardisering!K74</f>
        <v>mg/kg ds</v>
      </c>
      <c r="F68" s="162">
        <v>1E-3</v>
      </c>
      <c r="H68" s="169"/>
      <c r="J68" s="288">
        <f>F68*2</f>
        <v>2E-3</v>
      </c>
      <c r="K68" s="288">
        <f t="shared" si="3"/>
        <v>2E-3</v>
      </c>
      <c r="L68" s="295"/>
    </row>
    <row r="69" spans="2:12" x14ac:dyDescent="0.25">
      <c r="B69" s="188" t="str">
        <f>standaardisering!B75</f>
        <v>Isobenzan of telodrin</v>
      </c>
      <c r="C69" s="162">
        <f>standaardisering!C75</f>
        <v>0</v>
      </c>
      <c r="D69" s="179">
        <f>standaardisering!I75</f>
        <v>0</v>
      </c>
      <c r="E69" s="162" t="str">
        <f>standaardisering!K75</f>
        <v>mg/kg ds</v>
      </c>
      <c r="F69" s="162">
        <v>5.0000000000000001E-4</v>
      </c>
      <c r="H69" s="169"/>
      <c r="J69" s="288">
        <f>F69*2</f>
        <v>1E-3</v>
      </c>
      <c r="K69" s="288">
        <f t="shared" si="3"/>
        <v>1E-3</v>
      </c>
      <c r="L69" s="295"/>
    </row>
    <row r="70" spans="2:12" x14ac:dyDescent="0.25">
      <c r="B70" s="188" t="str">
        <f>standaardisering!B76</f>
        <v>Drins (som)</v>
      </c>
      <c r="C70" s="162">
        <f>standaardisering!C76</f>
        <v>0</v>
      </c>
      <c r="D70" s="179">
        <f>standaardisering!I76</f>
        <v>0</v>
      </c>
      <c r="E70" s="162" t="str">
        <f>standaardisering!K76</f>
        <v>mg/kg ds</v>
      </c>
      <c r="G70" s="162">
        <v>1.4999999999999999E-2</v>
      </c>
      <c r="H70" s="169" t="str">
        <f>IF(D70&gt;G70,"Niet verspreidbaar","Verspreidbaar")</f>
        <v>Verspreidbaar</v>
      </c>
      <c r="L70" s="295" t="str">
        <f>H70</f>
        <v>Verspreidbaar</v>
      </c>
    </row>
    <row r="71" spans="2:12" x14ac:dyDescent="0.25">
      <c r="B71" s="188" t="str">
        <f>standaardisering!B77</f>
        <v>alfa-endosulfan</v>
      </c>
      <c r="C71" s="162">
        <f>standaardisering!C77</f>
        <v>0</v>
      </c>
      <c r="D71" s="179">
        <f>standaardisering!I77</f>
        <v>0</v>
      </c>
      <c r="E71" s="162" t="str">
        <f>standaardisering!K77</f>
        <v>mg/kg ds</v>
      </c>
      <c r="G71" s="162">
        <v>2.0999999999999999E-3</v>
      </c>
      <c r="H71" s="169" t="str">
        <f>IF(D71&gt;G71,"Niet verspreidbaar","Verspreidbaar")</f>
        <v>Verspreidbaar</v>
      </c>
      <c r="L71" s="295" t="str">
        <f t="shared" ref="L71:L74" si="4">H71</f>
        <v>Verspreidbaar</v>
      </c>
    </row>
    <row r="72" spans="2:12" x14ac:dyDescent="0.25">
      <c r="B72" s="188" t="str">
        <f>standaardisering!B78</f>
        <v>alfa-HCH</v>
      </c>
      <c r="C72" s="162">
        <f>standaardisering!C78</f>
        <v>0</v>
      </c>
      <c r="D72" s="179">
        <f>standaardisering!I78</f>
        <v>0</v>
      </c>
      <c r="E72" s="162" t="str">
        <f>standaardisering!K78</f>
        <v>mg/kg ds</v>
      </c>
      <c r="G72" s="162">
        <v>1.1999999999999999E-3</v>
      </c>
      <c r="H72" s="169" t="str">
        <f>IF(D72&gt;G72,"Niet verspreidbaar","Verspreidbaar")</f>
        <v>Verspreidbaar</v>
      </c>
      <c r="L72" s="295" t="str">
        <f t="shared" si="4"/>
        <v>Verspreidbaar</v>
      </c>
    </row>
    <row r="73" spans="2:12" x14ac:dyDescent="0.25">
      <c r="B73" s="188" t="str">
        <f>standaardisering!B79</f>
        <v>beta-HCH</v>
      </c>
      <c r="C73" s="162">
        <f>standaardisering!C79</f>
        <v>0</v>
      </c>
      <c r="D73" s="179">
        <f>standaardisering!I79</f>
        <v>0</v>
      </c>
      <c r="E73" s="162" t="str">
        <f>standaardisering!K79</f>
        <v>mg/kg ds</v>
      </c>
      <c r="G73" s="162">
        <v>6.4999999999999997E-3</v>
      </c>
      <c r="H73" s="169" t="str">
        <f>IF(D73&gt;G73,"Niet verspreidbaar","Verspreidbaar")</f>
        <v>Verspreidbaar</v>
      </c>
      <c r="L73" s="295" t="str">
        <f t="shared" si="4"/>
        <v>Verspreidbaar</v>
      </c>
    </row>
    <row r="74" spans="2:12" x14ac:dyDescent="0.25">
      <c r="B74" s="188" t="str">
        <f>standaardisering!B80</f>
        <v>delta-HCH</v>
      </c>
      <c r="C74" s="162">
        <f>standaardisering!C80</f>
        <v>0</v>
      </c>
      <c r="D74" s="179">
        <f>standaardisering!I80</f>
        <v>0</v>
      </c>
      <c r="E74" s="162" t="str">
        <f>standaardisering!K80</f>
        <v>mg/kg ds</v>
      </c>
      <c r="G74" s="162">
        <v>3.0000000000000001E-3</v>
      </c>
      <c r="H74" s="169" t="str">
        <f>IF(D74&gt;G74,"Niet verspreidbaar","Verspreidbaar")</f>
        <v>Verspreidbaar</v>
      </c>
      <c r="L74" s="295" t="str">
        <f t="shared" si="4"/>
        <v>Verspreidbaar</v>
      </c>
    </row>
    <row r="75" spans="2:12" x14ac:dyDescent="0.25">
      <c r="B75" s="188" t="str">
        <f>standaardisering!B81</f>
        <v>gamma-HCH</v>
      </c>
      <c r="C75" s="162">
        <f>standaardisering!C81</f>
        <v>0</v>
      </c>
      <c r="D75" s="179">
        <f>standaardisering!I81</f>
        <v>0</v>
      </c>
      <c r="E75" s="162" t="str">
        <f>standaardisering!K81</f>
        <v>mg/kg ds</v>
      </c>
      <c r="H75" s="169"/>
      <c r="L75" s="295"/>
    </row>
    <row r="76" spans="2:12" x14ac:dyDescent="0.25">
      <c r="B76" s="188" t="str">
        <f>standaardisering!B82</f>
        <v>HCH (alle hexachloorcyclohexanen, inclusief lindaan)</v>
      </c>
      <c r="C76" s="162">
        <f>standaardisering!C82</f>
        <v>0</v>
      </c>
      <c r="D76" s="179">
        <f>standaardisering!I82</f>
        <v>0</v>
      </c>
      <c r="E76" s="162" t="str">
        <f>standaardisering!K82</f>
        <v>mg/kg ds</v>
      </c>
      <c r="G76" s="162">
        <v>0.01</v>
      </c>
      <c r="H76" s="169" t="str">
        <f>IF(D76&gt;G76,"Niet verspreidbaar","Verspreidbaar")</f>
        <v>Verspreidbaar</v>
      </c>
      <c r="L76" s="295" t="str">
        <f>H76</f>
        <v>Verspreidbaar</v>
      </c>
    </row>
    <row r="77" spans="2:12" x14ac:dyDescent="0.25">
      <c r="B77" s="188" t="str">
        <f>standaardisering!B83</f>
        <v>Heptachloor</v>
      </c>
      <c r="C77" s="162">
        <f>standaardisering!C83</f>
        <v>0</v>
      </c>
      <c r="D77" s="179">
        <f>standaardisering!I83</f>
        <v>0</v>
      </c>
      <c r="E77" s="162" t="str">
        <f>standaardisering!K83</f>
        <v>mg/kg ds</v>
      </c>
      <c r="G77" s="162">
        <v>4.0000000000000001E-3</v>
      </c>
      <c r="H77" s="169" t="str">
        <f>IF(D77&gt;G77,"Niet verspreidbaar","Verspreidbaar")</f>
        <v>Verspreidbaar</v>
      </c>
      <c r="L77" s="295" t="str">
        <f>H77</f>
        <v>Verspreidbaar</v>
      </c>
    </row>
    <row r="78" spans="2:12" x14ac:dyDescent="0.25">
      <c r="B78" s="188" t="str">
        <f>standaardisering!B84</f>
        <v>Heptachloorepoxide</v>
      </c>
      <c r="C78" s="162">
        <f>standaardisering!C84</f>
        <v>0</v>
      </c>
      <c r="D78" s="179">
        <f>standaardisering!I84</f>
        <v>0</v>
      </c>
      <c r="E78" s="162" t="str">
        <f>standaardisering!K84</f>
        <v>mg/kg ds</v>
      </c>
      <c r="G78" s="162">
        <v>4.0000000000000001E-3</v>
      </c>
      <c r="H78" s="169" t="str">
        <f>IF(D78&gt;G78,"Niet verspreidbaar","Verspreidbaar")</f>
        <v>Verspreidbaar</v>
      </c>
      <c r="L78" s="295" t="str">
        <f>H78</f>
        <v>Verspreidbaar</v>
      </c>
    </row>
    <row r="79" spans="2:12" x14ac:dyDescent="0.25">
      <c r="B79" s="188" t="str">
        <f>standaardisering!B85</f>
        <v>Hexachloorbutadieen</v>
      </c>
      <c r="C79" s="162">
        <f>standaardisering!C85</f>
        <v>0</v>
      </c>
      <c r="D79" s="179">
        <f>standaardisering!I85</f>
        <v>0</v>
      </c>
      <c r="E79" s="162" t="str">
        <f>standaardisering!K85</f>
        <v>mg/kg ds</v>
      </c>
      <c r="G79" s="162">
        <v>7.4999999999999997E-3</v>
      </c>
      <c r="H79" s="169" t="str">
        <f>IF(D79&gt;G79,"Niet verspreidbaar","Verspreidbaar")</f>
        <v>Verspreidbaar</v>
      </c>
      <c r="L79" s="295" t="str">
        <f>H79</f>
        <v>Verspreidbaar</v>
      </c>
    </row>
    <row r="80" spans="2:12" x14ac:dyDescent="0.25">
      <c r="B80" s="188" t="str">
        <f>standaardisering!B86</f>
        <v>Enodsulfansulfaat</v>
      </c>
      <c r="C80" s="162">
        <f>standaardisering!C86</f>
        <v>0</v>
      </c>
      <c r="D80" s="179">
        <f>standaardisering!I86</f>
        <v>0</v>
      </c>
      <c r="E80" s="162" t="str">
        <f>standaardisering!K86</f>
        <v>mg/kg ds</v>
      </c>
      <c r="H80" s="169"/>
      <c r="L80" s="295"/>
    </row>
    <row r="81" spans="2:12" x14ac:dyDescent="0.25">
      <c r="B81" s="188" t="str">
        <f>standaardisering!B87</f>
        <v>OCB (som)</v>
      </c>
      <c r="D81" s="179">
        <f>standaardisering!I87</f>
        <v>0</v>
      </c>
      <c r="E81" s="162" t="str">
        <f>standaardisering!K87</f>
        <v>mg/kg ds</v>
      </c>
      <c r="F81" s="162">
        <v>0.4</v>
      </c>
      <c r="H81" s="169" t="str">
        <f>IF(D81&gt;G81,"Niet verspreidbaar","Verspreidbaar")</f>
        <v>Verspreidbaar</v>
      </c>
      <c r="J81" s="288">
        <f>F81*2</f>
        <v>0.8</v>
      </c>
      <c r="K81" s="288">
        <f t="shared" si="3"/>
        <v>0.8</v>
      </c>
      <c r="L81" s="295" t="e">
        <f>IF(#REF!&gt;K81,"Niet verspreidbaar","Verspreidbaar")</f>
        <v>#REF!</v>
      </c>
    </row>
    <row r="82" spans="2:12" x14ac:dyDescent="0.25">
      <c r="B82" s="188"/>
      <c r="H82" s="169"/>
      <c r="L82" s="295"/>
    </row>
    <row r="83" spans="2:12" x14ac:dyDescent="0.25">
      <c r="B83" s="187" t="str">
        <f>standaardisering!B89</f>
        <v>Organotin bestrijdingsmiddelen</v>
      </c>
      <c r="C83" s="162">
        <f>standaardisering!C89</f>
        <v>0</v>
      </c>
      <c r="H83" s="169"/>
      <c r="L83" s="295"/>
    </row>
    <row r="84" spans="2:12" x14ac:dyDescent="0.25">
      <c r="B84" s="188" t="str">
        <f>standaardisering!B90</f>
        <v>organotinverbindingen</v>
      </c>
      <c r="C84" s="162">
        <f>standaardisering!C90</f>
        <v>0</v>
      </c>
      <c r="D84" s="162">
        <f>standaardisering!I90</f>
        <v>0</v>
      </c>
      <c r="E84" s="162" t="str">
        <f>standaardisering!K90</f>
        <v>mg/kg ds</v>
      </c>
      <c r="F84" s="162">
        <v>0.15</v>
      </c>
      <c r="H84" s="169" t="str">
        <f>IF(D84&gt;F84,"Niet verspreidbaar","Verspreidbaar")</f>
        <v>Verspreidbaar</v>
      </c>
      <c r="I84" s="288">
        <v>0.5</v>
      </c>
      <c r="J84" s="288">
        <f>F84*2</f>
        <v>0.3</v>
      </c>
      <c r="K84" s="288">
        <f t="shared" si="3"/>
        <v>0.3</v>
      </c>
      <c r="L84" s="295" t="e">
        <f>IF(#REF!&gt;K84,"Niet verspreidbaar","Verspreidbaar")</f>
        <v>#REF!</v>
      </c>
    </row>
    <row r="85" spans="2:12" ht="13.8" thickBot="1" x14ac:dyDescent="0.3">
      <c r="B85" s="188" t="str">
        <f>standaardisering!B91</f>
        <v>Tributyltin</v>
      </c>
      <c r="C85" s="162">
        <f>standaardisering!C91</f>
        <v>0</v>
      </c>
      <c r="D85" s="162">
        <f>standaardisering!I91</f>
        <v>0</v>
      </c>
      <c r="E85" s="162" t="str">
        <f>standaardisering!K91</f>
        <v>mg/kg ds</v>
      </c>
      <c r="G85" s="162">
        <v>0.25</v>
      </c>
      <c r="H85" s="169" t="str">
        <f>IF(D85&gt;G85,"Niet verspreidbaar","Verspreidbaar")</f>
        <v>Verspreidbaar</v>
      </c>
      <c r="I85" s="296"/>
      <c r="J85" s="296"/>
      <c r="K85" s="296"/>
      <c r="L85" s="297" t="str">
        <f>H85</f>
        <v>Verspreidbaar</v>
      </c>
    </row>
    <row r="86" spans="2:12" x14ac:dyDescent="0.25">
      <c r="B86" s="188"/>
      <c r="H86" s="169"/>
    </row>
    <row r="87" spans="2:12" x14ac:dyDescent="0.25">
      <c r="B87" s="187" t="s">
        <v>477</v>
      </c>
      <c r="H87" s="174" t="str">
        <f>R16</f>
        <v>Wel verspreidbaar</v>
      </c>
    </row>
    <row r="88" spans="2:12" ht="13.8" thickBot="1" x14ac:dyDescent="0.3">
      <c r="B88" s="189" t="s">
        <v>478</v>
      </c>
      <c r="C88" s="177"/>
      <c r="D88" s="177"/>
      <c r="E88" s="177"/>
      <c r="F88" s="177"/>
      <c r="G88" s="177"/>
      <c r="H88" s="183" t="str">
        <f>IF(D27&gt;=100,"Sterk verontreinigd","Niet verontreinigd")</f>
        <v>Niet verontreinigd</v>
      </c>
    </row>
    <row r="89" spans="2:12" ht="13.8" thickBot="1" x14ac:dyDescent="0.3"/>
    <row r="90" spans="2:12" x14ac:dyDescent="0.25">
      <c r="B90" s="190" t="str">
        <f>'Toepassen op waterbodem'!B90</f>
        <v xml:space="preserve">PFAS verbindingen </v>
      </c>
      <c r="C90" s="166"/>
      <c r="D90" s="166" t="str">
        <f>'Toepassen op waterbodem'!D90</f>
        <v>gestandaardiseerd gehalte</v>
      </c>
      <c r="E90" s="166" t="str">
        <f>'Toepassen op waterbodem'!E90</f>
        <v>Eenheid</v>
      </c>
      <c r="F90" s="166" t="str">
        <f>'Toepassen op waterbodem'!F90</f>
        <v>Toetswaarde</v>
      </c>
      <c r="G90" s="166" t="str">
        <f>'Toepassen op waterbodem'!G90</f>
        <v>Parameteroordeel</v>
      </c>
      <c r="H90" s="165"/>
    </row>
    <row r="91" spans="2:12" x14ac:dyDescent="0.25">
      <c r="B91" s="191" t="str">
        <f>'Toepassen op waterbodem'!B91</f>
        <v>Perfluorbutaanzuur (PFBA)</v>
      </c>
      <c r="C91" s="168"/>
      <c r="D91" s="192">
        <f>'Toepassen op waterbodem'!D91</f>
        <v>0</v>
      </c>
      <c r="E91" s="168" t="str">
        <f>'Toepassen op waterbodem'!E91</f>
        <v>µg/kg ds</v>
      </c>
      <c r="F91" s="168">
        <f>'Toepassen op waterbodem'!F91</f>
        <v>0.8</v>
      </c>
      <c r="G91" s="168" t="str">
        <f>'Toepassen op waterbodem'!G91</f>
        <v>toepasbaar</v>
      </c>
      <c r="H91" s="169"/>
    </row>
    <row r="92" spans="2:12" x14ac:dyDescent="0.25">
      <c r="B92" s="191" t="str">
        <f>'Toepassen op waterbodem'!B92</f>
        <v>Perfluorpentaanzuur (PFPeA)</v>
      </c>
      <c r="C92" s="168"/>
      <c r="D92" s="192">
        <f>'Toepassen op waterbodem'!D92</f>
        <v>0</v>
      </c>
      <c r="E92" s="168" t="str">
        <f>'Toepassen op waterbodem'!E92</f>
        <v>µg/kg ds</v>
      </c>
      <c r="F92" s="168">
        <f>'Toepassen op waterbodem'!F92</f>
        <v>0.8</v>
      </c>
      <c r="G92" s="168" t="str">
        <f>'Toepassen op waterbodem'!G92</f>
        <v>toepasbaar</v>
      </c>
      <c r="H92" s="169"/>
    </row>
    <row r="93" spans="2:12" x14ac:dyDescent="0.25">
      <c r="B93" s="191" t="str">
        <f>'Toepassen op waterbodem'!B93</f>
        <v>Perfluorhexaanzuur (PFHxA )</v>
      </c>
      <c r="C93" s="168"/>
      <c r="D93" s="192">
        <f>'Toepassen op waterbodem'!D93</f>
        <v>0</v>
      </c>
      <c r="E93" s="168" t="str">
        <f>'Toepassen op waterbodem'!E93</f>
        <v>µg/kg ds</v>
      </c>
      <c r="F93" s="168">
        <f>'Toepassen op waterbodem'!F93</f>
        <v>0.8</v>
      </c>
      <c r="G93" s="168" t="str">
        <f>'Toepassen op waterbodem'!G93</f>
        <v>toepasbaar</v>
      </c>
      <c r="H93" s="169"/>
    </row>
    <row r="94" spans="2:12" x14ac:dyDescent="0.25">
      <c r="B94" s="191" t="str">
        <f>'Toepassen op waterbodem'!B94</f>
        <v>Perfluorheptaanzuur (PFHpA)</v>
      </c>
      <c r="C94" s="168"/>
      <c r="D94" s="192">
        <f>'Toepassen op waterbodem'!D94</f>
        <v>0</v>
      </c>
      <c r="E94" s="168" t="str">
        <f>'Toepassen op waterbodem'!E94</f>
        <v>µg/kg ds</v>
      </c>
      <c r="F94" s="168">
        <f>'Toepassen op waterbodem'!F94</f>
        <v>0.8</v>
      </c>
      <c r="G94" s="168" t="str">
        <f>'Toepassen op waterbodem'!G94</f>
        <v>toepasbaar</v>
      </c>
      <c r="H94" s="169"/>
    </row>
    <row r="95" spans="2:12" x14ac:dyDescent="0.25">
      <c r="B95" s="191" t="str">
        <f>'Toepassen op waterbodem'!B95</f>
        <v>Perfluornonaanzuur (PFNA)</v>
      </c>
      <c r="C95" s="168"/>
      <c r="D95" s="192">
        <f>'Toepassen op waterbodem'!D95</f>
        <v>0</v>
      </c>
      <c r="E95" s="168" t="str">
        <f>'Toepassen op waterbodem'!E95</f>
        <v>µg/kg ds</v>
      </c>
      <c r="F95" s="168">
        <f>'Toepassen op waterbodem'!F95</f>
        <v>0.8</v>
      </c>
      <c r="G95" s="168" t="str">
        <f>'Toepassen op waterbodem'!G95</f>
        <v>toepasbaar</v>
      </c>
      <c r="H95" s="169"/>
    </row>
    <row r="96" spans="2:12" x14ac:dyDescent="0.25">
      <c r="B96" s="191" t="str">
        <f>'Toepassen op waterbodem'!B96</f>
        <v>Perfluordecaanzuur (PFDA)</v>
      </c>
      <c r="C96" s="168"/>
      <c r="D96" s="192">
        <f>'Toepassen op waterbodem'!D96</f>
        <v>0</v>
      </c>
      <c r="E96" s="168" t="str">
        <f>'Toepassen op waterbodem'!E96</f>
        <v>µg/kg ds</v>
      </c>
      <c r="F96" s="168">
        <f>'Toepassen op waterbodem'!F96</f>
        <v>0.8</v>
      </c>
      <c r="G96" s="168" t="str">
        <f>'Toepassen op waterbodem'!G96</f>
        <v>toepasbaar</v>
      </c>
      <c r="H96" s="169"/>
    </row>
    <row r="97" spans="2:8" x14ac:dyDescent="0.25">
      <c r="B97" s="191" t="str">
        <f>'Toepassen op waterbodem'!B97</f>
        <v>Perfluorundecaanzuur (PFUnDA)</v>
      </c>
      <c r="C97" s="168"/>
      <c r="D97" s="192">
        <f>'Toepassen op waterbodem'!D97</f>
        <v>0</v>
      </c>
      <c r="E97" s="168" t="str">
        <f>'Toepassen op waterbodem'!E97</f>
        <v>µg/kg ds</v>
      </c>
      <c r="F97" s="168">
        <f>'Toepassen op waterbodem'!F97</f>
        <v>0.8</v>
      </c>
      <c r="G97" s="168" t="str">
        <f>'Toepassen op waterbodem'!G97</f>
        <v>toepasbaar</v>
      </c>
      <c r="H97" s="169"/>
    </row>
    <row r="98" spans="2:8" x14ac:dyDescent="0.25">
      <c r="B98" s="191" t="str">
        <f>'Toepassen op waterbodem'!B98</f>
        <v>Perfluordodecaanzuur (PFDoDA)</v>
      </c>
      <c r="C98" s="168"/>
      <c r="D98" s="192">
        <f>'Toepassen op waterbodem'!D98</f>
        <v>0</v>
      </c>
      <c r="E98" s="168" t="str">
        <f>'Toepassen op waterbodem'!E98</f>
        <v>µg/kg ds</v>
      </c>
      <c r="F98" s="168">
        <f>'Toepassen op waterbodem'!F98</f>
        <v>0.8</v>
      </c>
      <c r="G98" s="168" t="str">
        <f>'Toepassen op waterbodem'!G98</f>
        <v>toepasbaar</v>
      </c>
      <c r="H98" s="169"/>
    </row>
    <row r="99" spans="2:8" x14ac:dyDescent="0.25">
      <c r="B99" s="191" t="str">
        <f>'Toepassen op waterbodem'!B99</f>
        <v>Perfluortridecaanzuur (PFTrDA)</v>
      </c>
      <c r="C99" s="168"/>
      <c r="D99" s="192">
        <f>'Toepassen op waterbodem'!D99</f>
        <v>0</v>
      </c>
      <c r="E99" s="168" t="str">
        <f>'Toepassen op waterbodem'!E99</f>
        <v>µg/kg ds</v>
      </c>
      <c r="F99" s="168">
        <f>'Toepassen op waterbodem'!F99</f>
        <v>0.8</v>
      </c>
      <c r="G99" s="168" t="str">
        <f>'Toepassen op waterbodem'!G99</f>
        <v>toepasbaar</v>
      </c>
      <c r="H99" s="169"/>
    </row>
    <row r="100" spans="2:8" x14ac:dyDescent="0.25">
      <c r="B100" s="191" t="str">
        <f>'Toepassen op waterbodem'!B100</f>
        <v>Perfluortetradecaanzuur (PFTeDA)</v>
      </c>
      <c r="C100" s="168"/>
      <c r="D100" s="192">
        <f>'Toepassen op waterbodem'!D100</f>
        <v>0</v>
      </c>
      <c r="E100" s="168" t="str">
        <f>'Toepassen op waterbodem'!E100</f>
        <v>µg/kg ds</v>
      </c>
      <c r="F100" s="168">
        <f>'Toepassen op waterbodem'!F100</f>
        <v>0.8</v>
      </c>
      <c r="G100" s="168" t="str">
        <f>'Toepassen op waterbodem'!G100</f>
        <v>toepasbaar</v>
      </c>
      <c r="H100" s="169"/>
    </row>
    <row r="101" spans="2:8" x14ac:dyDescent="0.25">
      <c r="B101" s="191" t="str">
        <f>'Toepassen op waterbodem'!B101</f>
        <v>Perfluorhexaandecaanzuur (PFHxDA)</v>
      </c>
      <c r="C101" s="168"/>
      <c r="D101" s="192">
        <f>'Toepassen op waterbodem'!D101</f>
        <v>0</v>
      </c>
      <c r="E101" s="168" t="str">
        <f>'Toepassen op waterbodem'!E101</f>
        <v>µg/kg ds</v>
      </c>
      <c r="F101" s="168">
        <f>'Toepassen op waterbodem'!F101</f>
        <v>0.8</v>
      </c>
      <c r="G101" s="168" t="str">
        <f>'Toepassen op waterbodem'!G101</f>
        <v>toepasbaar</v>
      </c>
      <c r="H101" s="169"/>
    </row>
    <row r="102" spans="2:8" x14ac:dyDescent="0.25">
      <c r="B102" s="191" t="str">
        <f>'Toepassen op waterbodem'!B102</f>
        <v>Perfluoroctadecaanzuur (PFODA)</v>
      </c>
      <c r="C102" s="168"/>
      <c r="D102" s="192">
        <f>'Toepassen op waterbodem'!D102</f>
        <v>0</v>
      </c>
      <c r="E102" s="168" t="str">
        <f>'Toepassen op waterbodem'!E102</f>
        <v>µg/kg ds</v>
      </c>
      <c r="F102" s="168">
        <f>'Toepassen op waterbodem'!F102</f>
        <v>0.8</v>
      </c>
      <c r="G102" s="168" t="str">
        <f>'Toepassen op waterbodem'!G102</f>
        <v>toepasbaar</v>
      </c>
      <c r="H102" s="169"/>
    </row>
    <row r="103" spans="2:8" x14ac:dyDescent="0.25">
      <c r="B103" s="191" t="str">
        <f>'Toepassen op waterbodem'!B103</f>
        <v>Perfluorbutaansulfonzuur (PFBS)</v>
      </c>
      <c r="C103" s="168"/>
      <c r="D103" s="192">
        <f>'Toepassen op waterbodem'!D103</f>
        <v>0</v>
      </c>
      <c r="E103" s="168" t="str">
        <f>'Toepassen op waterbodem'!E103</f>
        <v>µg/kg ds</v>
      </c>
      <c r="F103" s="168">
        <f>'Toepassen op waterbodem'!F103</f>
        <v>0.8</v>
      </c>
      <c r="G103" s="168" t="str">
        <f>'Toepassen op waterbodem'!G103</f>
        <v>toepasbaar</v>
      </c>
      <c r="H103" s="169"/>
    </row>
    <row r="104" spans="2:8" x14ac:dyDescent="0.25">
      <c r="B104" s="191" t="str">
        <f>'Toepassen op waterbodem'!B104</f>
        <v>Perfluorpentaansulfonzuur (PFPeS)</v>
      </c>
      <c r="C104" s="168"/>
      <c r="D104" s="192">
        <f>'Toepassen op waterbodem'!D104</f>
        <v>0</v>
      </c>
      <c r="E104" s="168" t="str">
        <f>'Toepassen op waterbodem'!E104</f>
        <v>µg/kg ds</v>
      </c>
      <c r="F104" s="168">
        <f>'Toepassen op waterbodem'!F104</f>
        <v>0.8</v>
      </c>
      <c r="G104" s="168" t="str">
        <f>'Toepassen op waterbodem'!G104</f>
        <v>toepasbaar</v>
      </c>
      <c r="H104" s="169"/>
    </row>
    <row r="105" spans="2:8" x14ac:dyDescent="0.25">
      <c r="B105" s="191" t="str">
        <f>'Toepassen op waterbodem'!B105</f>
        <v>Perfluorhexaansulfonzuur (PFHxS)</v>
      </c>
      <c r="C105" s="168"/>
      <c r="D105" s="192">
        <f>'Toepassen op waterbodem'!D105</f>
        <v>0</v>
      </c>
      <c r="E105" s="168" t="str">
        <f>'Toepassen op waterbodem'!E105</f>
        <v>µg/kg ds</v>
      </c>
      <c r="F105" s="168">
        <f>'Toepassen op waterbodem'!F105</f>
        <v>0.8</v>
      </c>
      <c r="G105" s="168" t="str">
        <f>'Toepassen op waterbodem'!G105</f>
        <v>toepasbaar</v>
      </c>
      <c r="H105" s="169"/>
    </row>
    <row r="106" spans="2:8" x14ac:dyDescent="0.25">
      <c r="B106" s="191" t="str">
        <f>'Toepassen op waterbodem'!B106</f>
        <v>Perfluorheptaansulfonzuur (PFHpS)</v>
      </c>
      <c r="C106" s="168"/>
      <c r="D106" s="192">
        <f>'Toepassen op waterbodem'!D106</f>
        <v>0</v>
      </c>
      <c r="E106" s="168" t="str">
        <f>'Toepassen op waterbodem'!E106</f>
        <v>µg/kg ds</v>
      </c>
      <c r="F106" s="168">
        <f>'Toepassen op waterbodem'!F106</f>
        <v>0.8</v>
      </c>
      <c r="G106" s="168" t="str">
        <f>'Toepassen op waterbodem'!G106</f>
        <v>toepasbaar</v>
      </c>
      <c r="H106" s="169"/>
    </row>
    <row r="107" spans="2:8" x14ac:dyDescent="0.25">
      <c r="B107" s="191" t="str">
        <f>'Toepassen op waterbodem'!B107</f>
        <v>Perfluordecaansulfonzuur (PFDS)</v>
      </c>
      <c r="C107" s="168"/>
      <c r="D107" s="192">
        <f>'Toepassen op waterbodem'!D107</f>
        <v>0</v>
      </c>
      <c r="E107" s="168" t="str">
        <f>'Toepassen op waterbodem'!E107</f>
        <v>µg/kg ds</v>
      </c>
      <c r="F107" s="168">
        <f>'Toepassen op waterbodem'!F107</f>
        <v>0.8</v>
      </c>
      <c r="G107" s="168" t="str">
        <f>'Toepassen op waterbodem'!G107</f>
        <v>toepasbaar</v>
      </c>
      <c r="H107" s="169"/>
    </row>
    <row r="108" spans="2:8" x14ac:dyDescent="0.25">
      <c r="B108" s="191" t="str">
        <f>'Toepassen op waterbodem'!B108</f>
        <v>4:2 fluortelomeer sulfonzuur (4:2FTS)</v>
      </c>
      <c r="C108" s="168"/>
      <c r="D108" s="192">
        <f>'Toepassen op waterbodem'!D108</f>
        <v>0</v>
      </c>
      <c r="E108" s="168" t="str">
        <f>'Toepassen op waterbodem'!E108</f>
        <v>µg/kg ds</v>
      </c>
      <c r="F108" s="168">
        <f>'Toepassen op waterbodem'!F108</f>
        <v>0.8</v>
      </c>
      <c r="G108" s="168" t="str">
        <f>'Toepassen op waterbodem'!G108</f>
        <v>toepasbaar</v>
      </c>
      <c r="H108" s="169"/>
    </row>
    <row r="109" spans="2:8" x14ac:dyDescent="0.25">
      <c r="B109" s="191" t="str">
        <f>'Toepassen op waterbodem'!B109</f>
        <v>6:2 fluortelomeer sulfonzuur (6:2FTS)</v>
      </c>
      <c r="C109" s="168"/>
      <c r="D109" s="192">
        <f>'Toepassen op waterbodem'!D109</f>
        <v>0</v>
      </c>
      <c r="E109" s="168" t="str">
        <f>'Toepassen op waterbodem'!E109</f>
        <v>µg/kg ds</v>
      </c>
      <c r="F109" s="168">
        <f>'Toepassen op waterbodem'!F109</f>
        <v>0.8</v>
      </c>
      <c r="G109" s="168" t="str">
        <f>'Toepassen op waterbodem'!G109</f>
        <v>toepasbaar</v>
      </c>
      <c r="H109" s="169"/>
    </row>
    <row r="110" spans="2:8" x14ac:dyDescent="0.25">
      <c r="B110" s="191" t="str">
        <f>'Toepassen op waterbodem'!B110</f>
        <v>8:2 fluortelomeer sulfonzuur (8:2FTS)</v>
      </c>
      <c r="C110" s="168"/>
      <c r="D110" s="192">
        <f>'Toepassen op waterbodem'!D110</f>
        <v>0</v>
      </c>
      <c r="E110" s="168" t="str">
        <f>'Toepassen op waterbodem'!E110</f>
        <v>µg/kg ds</v>
      </c>
      <c r="F110" s="168">
        <f>'Toepassen op waterbodem'!F110</f>
        <v>0.8</v>
      </c>
      <c r="G110" s="168" t="str">
        <f>'Toepassen op waterbodem'!G110</f>
        <v>toepasbaar</v>
      </c>
      <c r="H110" s="169"/>
    </row>
    <row r="111" spans="2:8" x14ac:dyDescent="0.25">
      <c r="B111" s="191" t="str">
        <f>'Toepassen op waterbodem'!B111</f>
        <v>10:2 fluortelomeer sulfonzuur (10:2FTS)</v>
      </c>
      <c r="C111" s="168"/>
      <c r="D111" s="192">
        <f>'Toepassen op waterbodem'!D111</f>
        <v>0</v>
      </c>
      <c r="E111" s="168" t="str">
        <f>'Toepassen op waterbodem'!E111</f>
        <v>µg/kg ds</v>
      </c>
      <c r="F111" s="168">
        <f>'Toepassen op waterbodem'!F111</f>
        <v>0.8</v>
      </c>
      <c r="G111" s="168" t="str">
        <f>'Toepassen op waterbodem'!G111</f>
        <v>toepasbaar</v>
      </c>
      <c r="H111" s="169"/>
    </row>
    <row r="112" spans="2:8" x14ac:dyDescent="0.25">
      <c r="B112" s="191" t="str">
        <f>'Toepassen op waterbodem'!B112</f>
        <v>Perfluoroctaansulfonamide (PFOSA)</v>
      </c>
      <c r="C112" s="168"/>
      <c r="D112" s="192">
        <f>'Toepassen op waterbodem'!D112</f>
        <v>0</v>
      </c>
      <c r="E112" s="168" t="str">
        <f>'Toepassen op waterbodem'!E112</f>
        <v>µg/kg ds</v>
      </c>
      <c r="F112" s="168">
        <f>'Toepassen op waterbodem'!F112</f>
        <v>0.8</v>
      </c>
      <c r="G112" s="168" t="str">
        <f>'Toepassen op waterbodem'!G112</f>
        <v>toepasbaar</v>
      </c>
      <c r="H112" s="169"/>
    </row>
    <row r="113" spans="2:8" x14ac:dyDescent="0.25">
      <c r="B113" s="191" t="str">
        <f>'Toepassen op waterbodem'!B113</f>
        <v>N-methyl-perfluoroctaansulfonamide (N-MeFOSA)</v>
      </c>
      <c r="C113" s="168"/>
      <c r="D113" s="192">
        <f>'Toepassen op waterbodem'!D113</f>
        <v>0</v>
      </c>
      <c r="E113" s="168" t="str">
        <f>'Toepassen op waterbodem'!E113</f>
        <v>µg/kg ds</v>
      </c>
      <c r="F113" s="168">
        <f>'Toepassen op waterbodem'!F113</f>
        <v>0.8</v>
      </c>
      <c r="G113" s="168" t="str">
        <f>'Toepassen op waterbodem'!G113</f>
        <v>toepasbaar</v>
      </c>
      <c r="H113" s="169"/>
    </row>
    <row r="114" spans="2:8" x14ac:dyDescent="0.25">
      <c r="B114" s="191" t="str">
        <f>'Toepassen op waterbodem'!B114</f>
        <v>N-methyl-perfluoroctaansulfonamide acetaat (N-MeFOSAA)</v>
      </c>
      <c r="C114" s="168"/>
      <c r="D114" s="192">
        <f>'Toepassen op waterbodem'!D114</f>
        <v>0</v>
      </c>
      <c r="E114" s="168" t="str">
        <f>'Toepassen op waterbodem'!E114</f>
        <v>µg/kg ds</v>
      </c>
      <c r="F114" s="168">
        <f>'Toepassen op waterbodem'!F114</f>
        <v>0.8</v>
      </c>
      <c r="G114" s="168" t="str">
        <f>'Toepassen op waterbodem'!G114</f>
        <v>toepasbaar</v>
      </c>
      <c r="H114" s="169"/>
    </row>
    <row r="115" spans="2:8" x14ac:dyDescent="0.25">
      <c r="B115" s="191" t="str">
        <f>'Toepassen op waterbodem'!B115</f>
        <v>N-ethyl-perfluoroctaansulfonamide acetaat (N-EtFOSAA)</v>
      </c>
      <c r="C115" s="168"/>
      <c r="D115" s="192">
        <f>'Toepassen op waterbodem'!D115</f>
        <v>0</v>
      </c>
      <c r="E115" s="168" t="str">
        <f>'Toepassen op waterbodem'!E115</f>
        <v>µg/kg ds</v>
      </c>
      <c r="F115" s="168">
        <f>'Toepassen op waterbodem'!F115</f>
        <v>0.8</v>
      </c>
      <c r="G115" s="168" t="str">
        <f>'Toepassen op waterbodem'!G115</f>
        <v>toepasbaar</v>
      </c>
      <c r="H115" s="169"/>
    </row>
    <row r="116" spans="2:8" x14ac:dyDescent="0.25">
      <c r="B116" s="191" t="str">
        <f>'Toepassen op waterbodem'!B116</f>
        <v>8:2 fluortelomeer fosfaat diester (8:2diPAP)</v>
      </c>
      <c r="C116" s="168"/>
      <c r="D116" s="192">
        <f>'Toepassen op waterbodem'!D116</f>
        <v>0</v>
      </c>
      <c r="E116" s="168" t="str">
        <f>'Toepassen op waterbodem'!E116</f>
        <v>µg/kg ds</v>
      </c>
      <c r="F116" s="168">
        <f>'Toepassen op waterbodem'!F116</f>
        <v>0.8</v>
      </c>
      <c r="G116" s="168" t="str">
        <f>'Toepassen op waterbodem'!G116</f>
        <v>toepasbaar</v>
      </c>
      <c r="H116" s="169"/>
    </row>
    <row r="117" spans="2:8" hidden="1" x14ac:dyDescent="0.25">
      <c r="B117" s="191" t="e">
        <f>'Toepassen op waterbodem'!B117</f>
        <v>#REF!</v>
      </c>
      <c r="C117" s="168"/>
      <c r="D117" s="192" t="e">
        <f>'Toepassen op waterbodem'!D117</f>
        <v>#REF!</v>
      </c>
      <c r="E117" s="168" t="e">
        <f>'Toepassen op waterbodem'!E117</f>
        <v>#REF!</v>
      </c>
      <c r="F117" s="168"/>
      <c r="G117" s="168"/>
      <c r="H117" s="169"/>
    </row>
    <row r="118" spans="2:8" hidden="1" x14ac:dyDescent="0.25">
      <c r="B118" s="191" t="e">
        <f>'Toepassen op waterbodem'!B118</f>
        <v>#REF!</v>
      </c>
      <c r="C118" s="168"/>
      <c r="D118" s="192" t="e">
        <f>'Toepassen op waterbodem'!D118</f>
        <v>#REF!</v>
      </c>
      <c r="E118" s="168" t="e">
        <f>'Toepassen op waterbodem'!E118</f>
        <v>#REF!</v>
      </c>
      <c r="F118" s="168"/>
      <c r="G118" s="168"/>
      <c r="H118" s="169"/>
    </row>
    <row r="119" spans="2:8" x14ac:dyDescent="0.25">
      <c r="B119" s="191" t="str">
        <f>'Toepassen op waterbodem'!B119</f>
        <v>Som Perfluoroctaanzuur (PFOA) (factor 0,7)</v>
      </c>
      <c r="C119" s="168"/>
      <c r="D119" s="192">
        <f>'Toepassen op waterbodem'!D119</f>
        <v>0</v>
      </c>
      <c r="E119" s="168" t="str">
        <f>'Toepassen op waterbodem'!E119</f>
        <v>µg/kg ds</v>
      </c>
      <c r="F119" s="168">
        <f>'Toepassen op waterbodem'!F119</f>
        <v>0.8</v>
      </c>
      <c r="G119" s="168" t="str">
        <f>'Toepassen op waterbodem'!G119</f>
        <v>toepasbaar</v>
      </c>
      <c r="H119" s="169"/>
    </row>
    <row r="120" spans="2:8" hidden="1" x14ac:dyDescent="0.25">
      <c r="B120" s="191" t="e">
        <f>'Toepassen op waterbodem'!B120</f>
        <v>#REF!</v>
      </c>
      <c r="C120" s="168"/>
      <c r="D120" s="192" t="e">
        <f>'Toepassen op waterbodem'!D120</f>
        <v>#REF!</v>
      </c>
      <c r="E120" s="168" t="e">
        <f>'Toepassen op waterbodem'!E120</f>
        <v>#REF!</v>
      </c>
      <c r="F120" s="168"/>
      <c r="G120" s="168"/>
      <c r="H120" s="169"/>
    </row>
    <row r="121" spans="2:8" hidden="1" x14ac:dyDescent="0.25">
      <c r="B121" s="191" t="e">
        <f>'Toepassen op waterbodem'!B121</f>
        <v>#REF!</v>
      </c>
      <c r="C121" s="168"/>
      <c r="D121" s="192" t="e">
        <f>'Toepassen op waterbodem'!D121</f>
        <v>#REF!</v>
      </c>
      <c r="E121" s="168" t="e">
        <f>'Toepassen op waterbodem'!E121</f>
        <v>#REF!</v>
      </c>
      <c r="F121" s="168"/>
      <c r="G121" s="168"/>
      <c r="H121" s="169"/>
    </row>
    <row r="122" spans="2:8" x14ac:dyDescent="0.25">
      <c r="B122" s="191" t="str">
        <f>'Toepassen op waterbodem'!B122</f>
        <v>Som Perfluoroctaansulfonzuur (PFOS) (factor 0,7)</v>
      </c>
      <c r="C122" s="168"/>
      <c r="D122" s="192">
        <f>'Toepassen op waterbodem'!D122</f>
        <v>0</v>
      </c>
      <c r="E122" s="168" t="str">
        <f>'Toepassen op waterbodem'!E122</f>
        <v>µg/kg ds</v>
      </c>
      <c r="F122" s="168">
        <f>'Toepassen op waterbodem'!F122</f>
        <v>3.7</v>
      </c>
      <c r="G122" s="168" t="str">
        <f>'Toepassen op waterbodem'!G122</f>
        <v>toepasbaar</v>
      </c>
      <c r="H122" s="169"/>
    </row>
    <row r="123" spans="2:8" x14ac:dyDescent="0.25">
      <c r="B123" s="191" t="str">
        <f>'Toepassen op waterbodem'!B123</f>
        <v>GenX - 2,3,3,3-Tetrafluor-2-(Heptafluorpropoxy)Pro</v>
      </c>
      <c r="C123" s="168"/>
      <c r="D123" s="192">
        <f>'Toepassen op waterbodem'!D123</f>
        <v>0</v>
      </c>
      <c r="E123" s="168" t="str">
        <f>'Toepassen op waterbodem'!E123</f>
        <v>µg/kg ds</v>
      </c>
      <c r="F123" s="168">
        <f>'Toepassen op waterbodem'!F123</f>
        <v>0.8</v>
      </c>
      <c r="G123" s="168" t="str">
        <f>'Toepassen op waterbodem'!G123</f>
        <v>toepasbaar</v>
      </c>
      <c r="H123" s="169"/>
    </row>
    <row r="124" spans="2:8" x14ac:dyDescent="0.25">
      <c r="B124" s="191"/>
      <c r="C124" s="168"/>
      <c r="D124" s="168"/>
      <c r="E124" s="168"/>
      <c r="F124" s="168"/>
      <c r="G124" s="168"/>
      <c r="H124" s="169"/>
    </row>
    <row r="125" spans="2:8" ht="13.8" thickBot="1" x14ac:dyDescent="0.3">
      <c r="B125" s="189" t="str">
        <f>'Toepassen op waterbodem'!B125</f>
        <v>Eindoordeel</v>
      </c>
      <c r="C125" s="193"/>
      <c r="D125" s="193"/>
      <c r="E125" s="193"/>
      <c r="F125" s="193"/>
      <c r="G125" s="184" t="str">
        <f>'Toepassen op waterbodem'!G125</f>
        <v>Wel toepasbaar</v>
      </c>
      <c r="H125" s="178"/>
    </row>
    <row r="126" spans="2:8" x14ac:dyDescent="0.25">
      <c r="B126" s="157"/>
      <c r="C126" s="168"/>
      <c r="D126" s="168"/>
      <c r="E126" s="168"/>
      <c r="F126" s="168"/>
      <c r="G126" s="168"/>
    </row>
  </sheetData>
  <sheetProtection algorithmName="SHA-512" hashValue="+LI+rVzWA7PX+/IjcG2WQFQzKaru9eQOg5bKkGFsCSLrVnKE9Io3+d2TyplRvZ00w0nc50V7Z+Cr6xg+2OVgSQ==" saltValue="/gZ2FNdsTbj+0iYwSsmq7A==" spinCount="100000" sheet="1" selectLockedCells="1" selectUnlockedCells="1"/>
  <mergeCells count="1">
    <mergeCell ref="F8:H8"/>
  </mergeCells>
  <conditionalFormatting sqref="C7:C85">
    <cfRule type="cellIs" dxfId="6" priority="2" operator="equal">
      <formula>0</formula>
    </cfRule>
  </conditionalFormatting>
  <conditionalFormatting sqref="C87:C89 C127:C1048576">
    <cfRule type="cellIs" dxfId="5" priority="1" operator="equal">
      <formula>0</formula>
    </cfRule>
  </conditionalFormatting>
  <pageMargins left="0.7" right="0.7" top="0.75" bottom="0.75" header="0.3" footer="0.3"/>
  <pageSetup paperSize="9" scale="43" orientation="portrait" r:id="rId1"/>
  <colBreaks count="1" manualBreakCount="1">
    <brk id="8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294529-0DB0-45D8-83A2-3C9D391B67E1}">
  <dimension ref="A1:Z126"/>
  <sheetViews>
    <sheetView showGridLines="0" view="pageBreakPreview" topLeftCell="A4" zoomScale="85" zoomScaleNormal="100" zoomScaleSheetLayoutView="85" workbookViewId="0">
      <selection activeCell="B1" sqref="B1"/>
    </sheetView>
  </sheetViews>
  <sheetFormatPr defaultRowHeight="13.2" x14ac:dyDescent="0.25"/>
  <cols>
    <col min="1" max="1" width="8.88671875" style="288"/>
    <col min="2" max="2" width="51.6640625" style="185" bestFit="1" customWidth="1"/>
    <col min="3" max="3" width="11.77734375" style="162" customWidth="1"/>
    <col min="4" max="4" width="18.88671875" style="162" customWidth="1"/>
    <col min="5" max="5" width="26.33203125" style="162" customWidth="1"/>
    <col min="6" max="6" width="16.5546875" style="162" bestFit="1" customWidth="1"/>
    <col min="7" max="7" width="17" style="162" bestFit="1" customWidth="1"/>
    <col min="8" max="8" width="19.88671875" style="162" customWidth="1"/>
    <col min="9" max="9" width="17.88671875" style="288" hidden="1" customWidth="1"/>
    <col min="10" max="10" width="22.44140625" style="288" hidden="1" customWidth="1"/>
    <col min="11" max="11" width="16.88671875" style="288" hidden="1" customWidth="1"/>
    <col min="12" max="12" width="24.88671875" style="288" hidden="1" customWidth="1"/>
    <col min="13" max="13" width="0" style="288" hidden="1" customWidth="1"/>
    <col min="14" max="17" width="15.77734375" style="288" hidden="1" customWidth="1"/>
    <col min="18" max="18" width="14.33203125" style="288" hidden="1" customWidth="1"/>
    <col min="19" max="19" width="16" style="288" hidden="1" customWidth="1"/>
    <col min="20" max="21" width="19.44140625" style="288" hidden="1" customWidth="1"/>
    <col min="22" max="26" width="0" style="288" hidden="1" customWidth="1"/>
    <col min="27" max="16384" width="8.88671875" style="162"/>
  </cols>
  <sheetData>
    <row r="1" spans="2:26" x14ac:dyDescent="0.25">
      <c r="B1" s="144" t="s">
        <v>325</v>
      </c>
      <c r="C1" s="308">
        <f>Invoertabblad!C2</f>
        <v>0</v>
      </c>
    </row>
    <row r="2" spans="2:26" x14ac:dyDescent="0.25">
      <c r="B2" s="144" t="str">
        <f>Invoertabblad!B3</f>
        <v>Rapportage kenmerk:</v>
      </c>
      <c r="C2" s="213">
        <f>Invoertabblad!C3</f>
        <v>0</v>
      </c>
    </row>
    <row r="3" spans="2:26" x14ac:dyDescent="0.25">
      <c r="B3" s="144" t="str">
        <f>Invoertabblad!B4</f>
        <v xml:space="preserve">Rapportage datum: </v>
      </c>
      <c r="C3" s="214">
        <f>Invoertabblad!C4</f>
        <v>0</v>
      </c>
    </row>
    <row r="4" spans="2:26" x14ac:dyDescent="0.25">
      <c r="B4" s="144" t="str">
        <f>Invoertabblad!B5</f>
        <v>Datum baggertoetsformulier:</v>
      </c>
      <c r="C4" s="214">
        <f ca="1">TODAY()</f>
        <v>46041</v>
      </c>
    </row>
    <row r="7" spans="2:26" ht="13.8" thickBot="1" x14ac:dyDescent="0.3">
      <c r="S7" s="282" t="s">
        <v>474</v>
      </c>
      <c r="T7" s="282" t="s">
        <v>475</v>
      </c>
      <c r="U7" s="282"/>
    </row>
    <row r="8" spans="2:26" ht="13.8" thickBot="1" x14ac:dyDescent="0.3">
      <c r="B8" s="186"/>
      <c r="C8" s="164"/>
      <c r="D8" s="164"/>
      <c r="E8" s="164"/>
      <c r="F8" s="194" t="s">
        <v>460</v>
      </c>
      <c r="G8" s="194"/>
      <c r="H8" s="167"/>
      <c r="I8" s="289" t="s">
        <v>496</v>
      </c>
      <c r="J8" s="289"/>
      <c r="K8" s="289"/>
      <c r="L8" s="290"/>
      <c r="R8" s="291" t="s">
        <v>470</v>
      </c>
      <c r="S8" s="288" t="str" cm="1">
        <f t="array" ref="S8">_xlfn.IFS(S10&gt;0,"Niet verspreidbaar","WAAR","Wel verspreidbaar")</f>
        <v>Wel verspreidbaar</v>
      </c>
      <c r="T8" s="288" t="str" cm="1">
        <f t="array" ref="T8">_xlfn.IFS(T10&gt;0,"Niet verspreidbaar","WAAR","Wel verspreidbaar")</f>
        <v>Wel verspreidbaar</v>
      </c>
      <c r="U8" s="282"/>
      <c r="V8" s="282" t="s">
        <v>467</v>
      </c>
      <c r="W8" s="292"/>
      <c r="X8" s="292"/>
      <c r="Y8" s="292"/>
      <c r="Z8" s="292"/>
    </row>
    <row r="9" spans="2:26" ht="26.4" x14ac:dyDescent="0.25">
      <c r="B9" s="187" t="str">
        <f>standaardisering!B15</f>
        <v>Metalen</v>
      </c>
      <c r="C9" s="173" t="str">
        <f>standaardisering!C15</f>
        <v>rapportagegrens</v>
      </c>
      <c r="D9" s="173" t="str">
        <f>standaardisering!I15</f>
        <v>gestandaardiseerd gehalte</v>
      </c>
      <c r="E9" s="172" t="str">
        <f>standaardisering!K15</f>
        <v>Eenheid</v>
      </c>
      <c r="F9" s="172">
        <v>4</v>
      </c>
      <c r="G9" s="172">
        <v>5</v>
      </c>
      <c r="H9" s="174" t="s">
        <v>483</v>
      </c>
      <c r="I9" s="293" t="s">
        <v>472</v>
      </c>
      <c r="J9" s="293" t="s">
        <v>471</v>
      </c>
      <c r="K9" s="293"/>
      <c r="L9" s="294" t="s">
        <v>466</v>
      </c>
      <c r="Q9" s="291"/>
      <c r="R9" s="291" t="s">
        <v>479</v>
      </c>
      <c r="S9" s="286">
        <f>COUNTIF(H10:H85, "verspreidbaar")</f>
        <v>29</v>
      </c>
      <c r="T9" s="286">
        <f>COUNTIF(L10:L85, "Verspreidbaar")</f>
        <v>6</v>
      </c>
      <c r="U9" s="286"/>
      <c r="V9" s="288">
        <v>6</v>
      </c>
      <c r="W9" s="288">
        <v>1</v>
      </c>
    </row>
    <row r="10" spans="2:26" x14ac:dyDescent="0.25">
      <c r="B10" s="188" t="str">
        <f>standaardisering!B16</f>
        <v>Arseen (As)</v>
      </c>
      <c r="C10" s="162">
        <f>standaardisering!C16</f>
        <v>0</v>
      </c>
      <c r="D10" s="170">
        <f>standaardisering!I16</f>
        <v>0</v>
      </c>
      <c r="E10" s="162" t="str">
        <f>standaardisering!K16</f>
        <v>mg/kg ds</v>
      </c>
      <c r="F10" s="162">
        <v>29</v>
      </c>
      <c r="G10" s="162">
        <v>85</v>
      </c>
      <c r="H10" s="169" t="str">
        <f t="shared" ref="H10" si="0">IF(D10&gt;F10,"Niet verspreidbaar","Verspreidbaar")</f>
        <v>Verspreidbaar</v>
      </c>
      <c r="I10" s="288">
        <v>29</v>
      </c>
      <c r="K10" s="288">
        <f>I10*1.5</f>
        <v>43.5</v>
      </c>
      <c r="L10" s="295" t="str">
        <f>H10</f>
        <v>Verspreidbaar</v>
      </c>
      <c r="R10" s="291" t="s">
        <v>480</v>
      </c>
      <c r="S10" s="286">
        <f>COUNTIF(H10:H85, "Niet verspreidbaar")</f>
        <v>0</v>
      </c>
      <c r="T10" s="286">
        <f>COUNTIF(L10:L85, "Niet verspreidbaar")</f>
        <v>0</v>
      </c>
      <c r="U10" s="286"/>
      <c r="V10" s="288">
        <v>15</v>
      </c>
      <c r="W10" s="288">
        <v>2</v>
      </c>
    </row>
    <row r="11" spans="2:26" x14ac:dyDescent="0.25">
      <c r="B11" s="188" t="str">
        <f>standaardisering!B17</f>
        <v>Barium (Ba)</v>
      </c>
      <c r="C11" s="162">
        <f>standaardisering!C17</f>
        <v>0</v>
      </c>
      <c r="D11" s="170">
        <f>standaardisering!I17</f>
        <v>0</v>
      </c>
      <c r="E11" s="162" t="str">
        <f>standaardisering!K17</f>
        <v>mg/kg ds</v>
      </c>
      <c r="H11" s="200" t="str">
        <f>IF(D11&gt;625,"check antropogene oorzaak barium"," ")</f>
        <v xml:space="preserve"> </v>
      </c>
      <c r="L11" s="295"/>
      <c r="R11" s="291"/>
      <c r="S11" s="286"/>
      <c r="T11" s="286"/>
      <c r="U11" s="286"/>
      <c r="V11" s="288">
        <v>26</v>
      </c>
      <c r="W11" s="288">
        <v>3</v>
      </c>
    </row>
    <row r="12" spans="2:26" x14ac:dyDescent="0.25">
      <c r="B12" s="188" t="str">
        <f>standaardisering!B18</f>
        <v>Cadmium (Cd)</v>
      </c>
      <c r="C12" s="162">
        <f>standaardisering!C18</f>
        <v>0</v>
      </c>
      <c r="D12" s="175">
        <f>standaardisering!I18</f>
        <v>0</v>
      </c>
      <c r="E12" s="162" t="str">
        <f>standaardisering!K18</f>
        <v>mg/kg ds</v>
      </c>
      <c r="F12" s="162">
        <v>4</v>
      </c>
      <c r="G12" s="162">
        <v>14</v>
      </c>
      <c r="H12" s="169" t="str">
        <f t="shared" ref="H12:H15" si="1">IF(D12&gt;F12,"Niet verspreidbaar","Verspreidbaar")</f>
        <v>Verspreidbaar</v>
      </c>
      <c r="L12" s="295"/>
      <c r="R12" s="291"/>
      <c r="S12" s="286"/>
      <c r="T12" s="286"/>
      <c r="U12" s="286"/>
      <c r="V12" s="288">
        <v>36</v>
      </c>
      <c r="W12" s="288">
        <v>4</v>
      </c>
    </row>
    <row r="13" spans="2:26" x14ac:dyDescent="0.25">
      <c r="B13" s="188" t="str">
        <f>standaardisering!B19</f>
        <v>Kobalt (Co)</v>
      </c>
      <c r="C13" s="162">
        <f>standaardisering!C19</f>
        <v>0</v>
      </c>
      <c r="D13" s="170">
        <f>standaardisering!I19</f>
        <v>0</v>
      </c>
      <c r="E13" s="162" t="str">
        <f>standaardisering!K19</f>
        <v>mg/kg ds</v>
      </c>
      <c r="F13" s="162">
        <v>0</v>
      </c>
      <c r="G13" s="162">
        <v>240</v>
      </c>
      <c r="H13" s="169" t="str">
        <f t="shared" si="1"/>
        <v>Verspreidbaar</v>
      </c>
      <c r="L13" s="295"/>
      <c r="R13" s="291" t="s">
        <v>469</v>
      </c>
      <c r="S13" s="292">
        <f>SUM(S9:S12)</f>
        <v>29</v>
      </c>
      <c r="T13" s="292">
        <f>SUM(T9:T12)</f>
        <v>6</v>
      </c>
      <c r="U13" s="292"/>
      <c r="V13" s="282" t="s">
        <v>468</v>
      </c>
      <c r="W13" s="288">
        <v>5</v>
      </c>
    </row>
    <row r="14" spans="2:26" x14ac:dyDescent="0.25">
      <c r="B14" s="188" t="str">
        <f>standaardisering!B20</f>
        <v>Koper (Cu)</v>
      </c>
      <c r="C14" s="162">
        <f>standaardisering!C20</f>
        <v>0</v>
      </c>
      <c r="D14" s="170">
        <f>standaardisering!I20</f>
        <v>0</v>
      </c>
      <c r="E14" s="162" t="str">
        <f>standaardisering!K20</f>
        <v>mg/kg ds</v>
      </c>
      <c r="F14" s="162">
        <v>60</v>
      </c>
      <c r="G14" s="162">
        <v>190</v>
      </c>
      <c r="H14" s="169" t="str">
        <f t="shared" si="1"/>
        <v>Verspreidbaar</v>
      </c>
      <c r="I14" s="288">
        <v>60</v>
      </c>
      <c r="K14" s="288">
        <f>I14*1.5</f>
        <v>90</v>
      </c>
      <c r="L14" s="295" t="str">
        <f t="shared" ref="L14:L20" si="2">H14</f>
        <v>Verspreidbaar</v>
      </c>
      <c r="R14" s="291" t="s">
        <v>476</v>
      </c>
      <c r="S14" s="288" cm="1">
        <f t="array" ref="S14">_xlfn.IFS(S13&gt;36.9,5,S13&gt;26.9,4,S13&gt;15.9,3,S13&gt;6.9,2, S13&gt;1.9,1,TRUE,0)</f>
        <v>4</v>
      </c>
      <c r="T14" s="291"/>
      <c r="U14" s="291"/>
    </row>
    <row r="15" spans="2:26" x14ac:dyDescent="0.25">
      <c r="B15" s="188" t="str">
        <f>standaardisering!B21</f>
        <v>Kwik (Hg)</v>
      </c>
      <c r="C15" s="162">
        <f>standaardisering!C21</f>
        <v>0</v>
      </c>
      <c r="D15" s="170">
        <f>standaardisering!I21</f>
        <v>0</v>
      </c>
      <c r="E15" s="162" t="str">
        <f>standaardisering!K21</f>
        <v>mg/kg ds</v>
      </c>
      <c r="F15" s="162">
        <v>1.2</v>
      </c>
      <c r="G15" s="162">
        <v>10</v>
      </c>
      <c r="H15" s="169" t="str">
        <f t="shared" si="1"/>
        <v>Verspreidbaar</v>
      </c>
      <c r="L15" s="295"/>
    </row>
    <row r="16" spans="2:26" x14ac:dyDescent="0.25">
      <c r="B16" s="188" t="str">
        <f>standaardisering!B22</f>
        <v>Lood (Pb)</v>
      </c>
      <c r="C16" s="162">
        <f>standaardisering!C22</f>
        <v>0</v>
      </c>
      <c r="D16" s="170">
        <f>standaardisering!I22</f>
        <v>0</v>
      </c>
      <c r="E16" s="162" t="str">
        <f>standaardisering!K22</f>
        <v>mg/kg ds</v>
      </c>
      <c r="F16" s="162">
        <v>110</v>
      </c>
      <c r="G16" s="162">
        <v>580</v>
      </c>
      <c r="H16" s="169" t="str">
        <f t="shared" ref="H16:H19" si="3">IF(D16&gt;F16,"Niet verspreidbaar","Verspreidbaar")</f>
        <v>Verspreidbaar</v>
      </c>
      <c r="L16" s="295"/>
      <c r="R16" s="288" t="str" cm="1">
        <f t="array" ref="R16">_xlfn.IFS(S14&gt;S10,T8,S14&lt;S10,S8,S14=S10,T8)</f>
        <v>Wel verspreidbaar</v>
      </c>
    </row>
    <row r="17" spans="2:21" x14ac:dyDescent="0.25">
      <c r="B17" s="188" t="str">
        <f>standaardisering!B23</f>
        <v>Molybdeen (Mo)</v>
      </c>
      <c r="C17" s="162">
        <f>standaardisering!C23</f>
        <v>0</v>
      </c>
      <c r="D17" s="179">
        <f>standaardisering!I23</f>
        <v>0</v>
      </c>
      <c r="E17" s="162" t="str">
        <f>standaardisering!K23</f>
        <v>mg/kg ds</v>
      </c>
      <c r="G17" s="162">
        <v>200</v>
      </c>
      <c r="H17" s="169" t="str">
        <f>IF(D17&gt;G17,"Niet verspreidbaar","Verspreidbaar")</f>
        <v>Verspreidbaar</v>
      </c>
      <c r="L17" s="295"/>
      <c r="R17" s="282"/>
    </row>
    <row r="18" spans="2:21" x14ac:dyDescent="0.25">
      <c r="B18" s="188" t="str">
        <f>standaardisering!B24</f>
        <v>Nikkel (Ni)</v>
      </c>
      <c r="C18" s="162">
        <f>standaardisering!C24</f>
        <v>0</v>
      </c>
      <c r="D18" s="170">
        <f>standaardisering!I24</f>
        <v>0</v>
      </c>
      <c r="E18" s="162" t="str">
        <f>standaardisering!K24</f>
        <v>mg/kg ds</v>
      </c>
      <c r="F18" s="162">
        <v>45</v>
      </c>
      <c r="G18" s="162">
        <v>210</v>
      </c>
      <c r="H18" s="169" t="str">
        <f t="shared" si="3"/>
        <v>Verspreidbaar</v>
      </c>
      <c r="L18" s="295"/>
      <c r="R18" s="282"/>
    </row>
    <row r="19" spans="2:21" x14ac:dyDescent="0.25">
      <c r="B19" s="188" t="str">
        <f>standaardisering!B25</f>
        <v>Zink (Zn)</v>
      </c>
      <c r="C19" s="162">
        <f>standaardisering!C25</f>
        <v>0</v>
      </c>
      <c r="D19" s="170">
        <f>standaardisering!I25</f>
        <v>0</v>
      </c>
      <c r="E19" s="162" t="str">
        <f>standaardisering!K25</f>
        <v>mg/kg ds</v>
      </c>
      <c r="F19" s="162">
        <v>365</v>
      </c>
      <c r="G19" s="162">
        <v>2000</v>
      </c>
      <c r="H19" s="169" t="str">
        <f t="shared" si="3"/>
        <v>Verspreidbaar</v>
      </c>
      <c r="L19" s="295"/>
      <c r="S19" s="282"/>
    </row>
    <row r="20" spans="2:21" x14ac:dyDescent="0.25">
      <c r="B20" s="188" t="str">
        <f>standaardisering!B26</f>
        <v>Chroom (Cr)</v>
      </c>
      <c r="C20" s="162">
        <f>standaardisering!C26</f>
        <v>0</v>
      </c>
      <c r="D20" s="170">
        <f>standaardisering!I26</f>
        <v>0</v>
      </c>
      <c r="E20" s="162" t="str">
        <f>standaardisering!K26</f>
        <v>mg/kg ds</v>
      </c>
      <c r="F20" s="162">
        <v>120</v>
      </c>
      <c r="G20" s="162">
        <v>380</v>
      </c>
      <c r="H20" s="169" t="str">
        <f>IF(D20&gt;F20,"Niet verspreidbaar","Verspreidbaar")</f>
        <v>Verspreidbaar</v>
      </c>
      <c r="I20" s="288">
        <v>120</v>
      </c>
      <c r="K20" s="288">
        <f>I20*1.5</f>
        <v>180</v>
      </c>
      <c r="L20" s="295" t="str">
        <f t="shared" si="2"/>
        <v>Verspreidbaar</v>
      </c>
    </row>
    <row r="21" spans="2:21" x14ac:dyDescent="0.25">
      <c r="B21" s="188"/>
      <c r="H21" s="169"/>
      <c r="L21" s="295"/>
      <c r="S21" s="282"/>
      <c r="T21" s="282"/>
      <c r="U21" s="282"/>
    </row>
    <row r="22" spans="2:21" x14ac:dyDescent="0.25">
      <c r="B22" s="187" t="str">
        <f>standaardisering!B28</f>
        <v>Overige anorganische stoffen</v>
      </c>
      <c r="C22" s="162">
        <f>standaardisering!C28</f>
        <v>0</v>
      </c>
      <c r="H22" s="169"/>
      <c r="L22" s="295"/>
    </row>
    <row r="23" spans="2:21" x14ac:dyDescent="0.25">
      <c r="B23" s="188" t="str">
        <f>standaardisering!B29</f>
        <v>cyanide (vrij)</v>
      </c>
      <c r="C23" s="162">
        <f>standaardisering!C29</f>
        <v>0</v>
      </c>
      <c r="D23" s="162">
        <f>standaardisering!I29</f>
        <v>0</v>
      </c>
      <c r="E23" s="162" t="str">
        <f>standaardisering!K29</f>
        <v>mg/kg ds</v>
      </c>
      <c r="G23" s="162">
        <v>20</v>
      </c>
      <c r="H23" s="169" t="str">
        <f>IF(D23&gt;G23,"Niet verspreidbaar","Verspreidbaar")</f>
        <v>Verspreidbaar</v>
      </c>
      <c r="L23" s="295"/>
    </row>
    <row r="24" spans="2:21" x14ac:dyDescent="0.25">
      <c r="B24" s="188" t="str">
        <f>standaardisering!B30</f>
        <v>cyanide (complex)</v>
      </c>
      <c r="C24" s="162">
        <f>standaardisering!C30</f>
        <v>0</v>
      </c>
      <c r="D24" s="162">
        <f>standaardisering!I30</f>
        <v>0</v>
      </c>
      <c r="E24" s="162" t="str">
        <f>standaardisering!K30</f>
        <v>mg/kg ds</v>
      </c>
      <c r="G24" s="162">
        <v>50</v>
      </c>
      <c r="H24" s="169" t="str">
        <f t="shared" ref="H24:H25" si="4">IF(D24&gt;G24,"Niet verspreidbaar","Verspreidbaar")</f>
        <v>Verspreidbaar</v>
      </c>
      <c r="L24" s="295"/>
    </row>
    <row r="25" spans="2:21" x14ac:dyDescent="0.25">
      <c r="B25" s="188" t="str">
        <f>standaardisering!B31</f>
        <v>Thiocyanaten</v>
      </c>
      <c r="C25" s="162">
        <f>standaardisering!C31</f>
        <v>0</v>
      </c>
      <c r="D25" s="162">
        <f>standaardisering!I31</f>
        <v>0</v>
      </c>
      <c r="E25" s="162" t="str">
        <f>standaardisering!K31</f>
        <v>mg/kg ds</v>
      </c>
      <c r="G25" s="162">
        <v>20</v>
      </c>
      <c r="H25" s="169" t="str">
        <f t="shared" si="4"/>
        <v>Verspreidbaar</v>
      </c>
      <c r="L25" s="295"/>
    </row>
    <row r="26" spans="2:21" x14ac:dyDescent="0.25">
      <c r="B26" s="188"/>
      <c r="H26" s="169"/>
      <c r="L26" s="295"/>
    </row>
    <row r="27" spans="2:21" x14ac:dyDescent="0.25">
      <c r="B27" s="187" t="str">
        <f>standaardisering!B33</f>
        <v>Asbest</v>
      </c>
      <c r="C27" s="162">
        <f>standaardisering!C33</f>
        <v>0</v>
      </c>
      <c r="D27" s="162">
        <f>standaardisering!I33</f>
        <v>0</v>
      </c>
      <c r="E27" s="162" t="str">
        <f>standaardisering!K33</f>
        <v>mg/kg ds</v>
      </c>
      <c r="F27" s="162">
        <v>100</v>
      </c>
      <c r="G27" s="162">
        <v>100</v>
      </c>
      <c r="H27" s="169"/>
      <c r="L27" s="295"/>
    </row>
    <row r="28" spans="2:21" x14ac:dyDescent="0.25">
      <c r="B28" s="188"/>
      <c r="H28" s="169"/>
      <c r="L28" s="295"/>
    </row>
    <row r="29" spans="2:21" x14ac:dyDescent="0.25">
      <c r="B29" s="187" t="str">
        <f>standaardisering!B35</f>
        <v>PAK10</v>
      </c>
      <c r="C29" s="162">
        <f>standaardisering!C35</f>
        <v>0</v>
      </c>
      <c r="H29" s="169"/>
      <c r="L29" s="295"/>
    </row>
    <row r="30" spans="2:21" x14ac:dyDescent="0.25">
      <c r="B30" s="188" t="str">
        <f>standaardisering!B36</f>
        <v>Naftaleen</v>
      </c>
      <c r="C30" s="162">
        <f>standaardisering!C36</f>
        <v>0</v>
      </c>
      <c r="D30" s="170">
        <f>standaardisering!J36</f>
        <v>0</v>
      </c>
      <c r="E30" s="162" t="str">
        <f>standaardisering!K36</f>
        <v>mg/kg ds</v>
      </c>
      <c r="H30" s="169"/>
      <c r="L30" s="295"/>
    </row>
    <row r="31" spans="2:21" x14ac:dyDescent="0.25">
      <c r="B31" s="188" t="str">
        <f>standaardisering!B37</f>
        <v>Antraceen</v>
      </c>
      <c r="C31" s="162">
        <f>standaardisering!C37</f>
        <v>0</v>
      </c>
      <c r="D31" s="170">
        <f>standaardisering!J37</f>
        <v>0</v>
      </c>
      <c r="E31" s="162" t="str">
        <f>standaardisering!K37</f>
        <v>mg/kg ds</v>
      </c>
      <c r="H31" s="169"/>
      <c r="L31" s="295"/>
    </row>
    <row r="32" spans="2:21" x14ac:dyDescent="0.25">
      <c r="B32" s="188" t="str">
        <f>standaardisering!B38</f>
        <v>Fenantreen</v>
      </c>
      <c r="C32" s="162">
        <f>standaardisering!C38</f>
        <v>0</v>
      </c>
      <c r="D32" s="170">
        <f>standaardisering!J38</f>
        <v>0</v>
      </c>
      <c r="E32" s="162" t="str">
        <f>standaardisering!K38</f>
        <v>mg/kg ds</v>
      </c>
      <c r="H32" s="169"/>
      <c r="L32" s="295"/>
    </row>
    <row r="33" spans="2:12" x14ac:dyDescent="0.25">
      <c r="B33" s="188" t="str">
        <f>standaardisering!B39</f>
        <v>Fluoranteen</v>
      </c>
      <c r="C33" s="162">
        <f>standaardisering!C39</f>
        <v>0</v>
      </c>
      <c r="D33" s="170">
        <f>standaardisering!J39</f>
        <v>0</v>
      </c>
      <c r="E33" s="162" t="str">
        <f>standaardisering!K39</f>
        <v>mg/kg ds</v>
      </c>
      <c r="H33" s="169"/>
      <c r="L33" s="295"/>
    </row>
    <row r="34" spans="2:12" x14ac:dyDescent="0.25">
      <c r="B34" s="188" t="str">
        <f>standaardisering!B40</f>
        <v>Benzo(a)anthraceen</v>
      </c>
      <c r="C34" s="162">
        <f>standaardisering!C40</f>
        <v>0</v>
      </c>
      <c r="D34" s="170">
        <f>standaardisering!J40</f>
        <v>0</v>
      </c>
      <c r="E34" s="162" t="str">
        <f>standaardisering!K40</f>
        <v>mg/kg ds</v>
      </c>
      <c r="H34" s="169"/>
      <c r="L34" s="295"/>
    </row>
    <row r="35" spans="2:12" x14ac:dyDescent="0.25">
      <c r="B35" s="188" t="str">
        <f>standaardisering!B41</f>
        <v>Chryseen</v>
      </c>
      <c r="C35" s="162">
        <f>standaardisering!C41</f>
        <v>0</v>
      </c>
      <c r="D35" s="170">
        <f>standaardisering!J41</f>
        <v>0</v>
      </c>
      <c r="E35" s="162" t="str">
        <f>standaardisering!K41</f>
        <v>mg/kg ds</v>
      </c>
      <c r="H35" s="169"/>
      <c r="L35" s="295"/>
    </row>
    <row r="36" spans="2:12" x14ac:dyDescent="0.25">
      <c r="B36" s="188" t="str">
        <f>standaardisering!B42</f>
        <v>Benzo(k)fluorantheen</v>
      </c>
      <c r="C36" s="162">
        <f>standaardisering!C42</f>
        <v>0</v>
      </c>
      <c r="D36" s="170">
        <f>standaardisering!J42</f>
        <v>0</v>
      </c>
      <c r="E36" s="162" t="str">
        <f>standaardisering!K42</f>
        <v>mg/kg ds</v>
      </c>
      <c r="H36" s="169"/>
      <c r="L36" s="295"/>
    </row>
    <row r="37" spans="2:12" x14ac:dyDescent="0.25">
      <c r="B37" s="188" t="str">
        <f>standaardisering!B43</f>
        <v>Benzo(a)pyreen</v>
      </c>
      <c r="C37" s="162">
        <f>standaardisering!C43</f>
        <v>0</v>
      </c>
      <c r="D37" s="170">
        <f>standaardisering!J43</f>
        <v>0</v>
      </c>
      <c r="E37" s="162" t="str">
        <f>standaardisering!K43</f>
        <v>mg/kg ds</v>
      </c>
      <c r="H37" s="169"/>
      <c r="L37" s="295"/>
    </row>
    <row r="38" spans="2:12" x14ac:dyDescent="0.25">
      <c r="B38" s="188" t="str">
        <f>standaardisering!B44</f>
        <v>Benzo(ghi)peryleen</v>
      </c>
      <c r="C38" s="162">
        <f>standaardisering!C44</f>
        <v>0</v>
      </c>
      <c r="D38" s="170">
        <f>standaardisering!J44</f>
        <v>0</v>
      </c>
      <c r="E38" s="162" t="str">
        <f>standaardisering!K44</f>
        <v>mg/kg ds</v>
      </c>
      <c r="H38" s="169"/>
      <c r="L38" s="295"/>
    </row>
    <row r="39" spans="2:12" x14ac:dyDescent="0.25">
      <c r="B39" s="188" t="str">
        <f>standaardisering!B45</f>
        <v>Indeen(1,2,3-cd)pyreen</v>
      </c>
      <c r="C39" s="162">
        <f>standaardisering!C45</f>
        <v>0</v>
      </c>
      <c r="D39" s="170">
        <f>standaardisering!J45</f>
        <v>0</v>
      </c>
      <c r="E39" s="162" t="str">
        <f>standaardisering!K45</f>
        <v>mg/kg ds</v>
      </c>
      <c r="H39" s="169"/>
      <c r="L39" s="295"/>
    </row>
    <row r="40" spans="2:12" x14ac:dyDescent="0.25">
      <c r="B40" s="188" t="str">
        <f>standaardisering!B46</f>
        <v>PAK (10 som)</v>
      </c>
      <c r="C40" s="162">
        <f>standaardisering!C46</f>
        <v>0</v>
      </c>
      <c r="D40" s="170">
        <f>standaardisering!J46</f>
        <v>0</v>
      </c>
      <c r="E40" s="162" t="str">
        <f>standaardisering!K46</f>
        <v>mg/kg ds</v>
      </c>
      <c r="F40" s="162">
        <v>8</v>
      </c>
      <c r="G40" s="162">
        <v>40</v>
      </c>
      <c r="H40" s="169" t="str">
        <f>IF(D40&gt;F40,"Niet verspreidbaar","Verspreidbaar")</f>
        <v>Verspreidbaar</v>
      </c>
      <c r="L40" s="295"/>
    </row>
    <row r="41" spans="2:12" x14ac:dyDescent="0.25">
      <c r="B41" s="188"/>
      <c r="H41" s="169"/>
      <c r="L41" s="295"/>
    </row>
    <row r="42" spans="2:12" x14ac:dyDescent="0.25">
      <c r="B42" s="187" t="str">
        <f>standaardisering!B48</f>
        <v>Minerale olie</v>
      </c>
      <c r="C42" s="162">
        <f>standaardisering!C48</f>
        <v>0</v>
      </c>
      <c r="D42" s="170">
        <f>standaardisering!I48</f>
        <v>0</v>
      </c>
      <c r="E42" s="162" t="str">
        <f>standaardisering!K48</f>
        <v>mg/kg ds</v>
      </c>
      <c r="F42" s="162">
        <v>1250</v>
      </c>
      <c r="G42" s="162">
        <v>5000</v>
      </c>
      <c r="H42" s="169" t="str">
        <f>IF(D42&gt;F42,"Niet verspreidbaar","Verspreidbaar")</f>
        <v>Verspreidbaar</v>
      </c>
      <c r="I42" s="288">
        <v>1250</v>
      </c>
      <c r="K42" s="288">
        <f>I42*1.5</f>
        <v>1875</v>
      </c>
      <c r="L42" s="295" t="str">
        <f>H42</f>
        <v>Verspreidbaar</v>
      </c>
    </row>
    <row r="43" spans="2:12" x14ac:dyDescent="0.25">
      <c r="B43" s="188"/>
      <c r="H43" s="169"/>
      <c r="L43" s="295"/>
    </row>
    <row r="44" spans="2:12" x14ac:dyDescent="0.25">
      <c r="B44" s="187" t="str">
        <f>standaardisering!B50</f>
        <v>Gechloreerde koolwaterstoffen</v>
      </c>
      <c r="C44" s="162">
        <f>standaardisering!C50</f>
        <v>0</v>
      </c>
      <c r="H44" s="169"/>
      <c r="L44" s="295"/>
    </row>
    <row r="45" spans="2:12" x14ac:dyDescent="0.25">
      <c r="B45" s="188" t="str">
        <f>standaardisering!B51</f>
        <v>PCB28</v>
      </c>
      <c r="C45" s="162">
        <f>standaardisering!C51</f>
        <v>0</v>
      </c>
      <c r="D45" s="181">
        <f>standaardisering!I51</f>
        <v>0</v>
      </c>
      <c r="E45" s="162" t="str">
        <f>standaardisering!K51</f>
        <v>mg/kg ds</v>
      </c>
      <c r="H45" s="169"/>
      <c r="L45" s="295"/>
    </row>
    <row r="46" spans="2:12" x14ac:dyDescent="0.25">
      <c r="B46" s="188" t="str">
        <f>standaardisering!B52</f>
        <v>PCB52</v>
      </c>
      <c r="C46" s="162">
        <f>standaardisering!C52</f>
        <v>0</v>
      </c>
      <c r="D46" s="181">
        <f>standaardisering!I52</f>
        <v>0</v>
      </c>
      <c r="E46" s="162" t="str">
        <f>standaardisering!K52</f>
        <v>mg/kg ds</v>
      </c>
      <c r="H46" s="169"/>
      <c r="L46" s="295"/>
    </row>
    <row r="47" spans="2:12" x14ac:dyDescent="0.25">
      <c r="B47" s="188" t="str">
        <f>standaardisering!B53</f>
        <v>PCB101</v>
      </c>
      <c r="C47" s="162">
        <f>standaardisering!C53</f>
        <v>0</v>
      </c>
      <c r="D47" s="181">
        <f>standaardisering!I53</f>
        <v>0</v>
      </c>
      <c r="E47" s="162" t="str">
        <f>standaardisering!K53</f>
        <v>mg/kg ds</v>
      </c>
      <c r="H47" s="169"/>
      <c r="L47" s="295"/>
    </row>
    <row r="48" spans="2:12" x14ac:dyDescent="0.25">
      <c r="B48" s="188" t="str">
        <f>standaardisering!B54</f>
        <v>PCB118</v>
      </c>
      <c r="C48" s="162">
        <f>standaardisering!C54</f>
        <v>0</v>
      </c>
      <c r="D48" s="181">
        <f>standaardisering!I54</f>
        <v>0</v>
      </c>
      <c r="E48" s="162" t="str">
        <f>standaardisering!K54</f>
        <v>mg/kg ds</v>
      </c>
      <c r="H48" s="169"/>
      <c r="L48" s="295"/>
    </row>
    <row r="49" spans="2:12" x14ac:dyDescent="0.25">
      <c r="B49" s="188" t="str">
        <f>standaardisering!B55</f>
        <v>PCB138</v>
      </c>
      <c r="C49" s="162">
        <f>standaardisering!C55</f>
        <v>0</v>
      </c>
      <c r="D49" s="181">
        <f>standaardisering!I55</f>
        <v>0</v>
      </c>
      <c r="E49" s="162" t="str">
        <f>standaardisering!K55</f>
        <v>mg/kg ds</v>
      </c>
      <c r="H49" s="169"/>
      <c r="L49" s="295"/>
    </row>
    <row r="50" spans="2:12" x14ac:dyDescent="0.25">
      <c r="B50" s="188" t="str">
        <f>standaardisering!B56</f>
        <v>PCB153</v>
      </c>
      <c r="C50" s="162">
        <f>standaardisering!C56</f>
        <v>0</v>
      </c>
      <c r="D50" s="181">
        <f>standaardisering!I56</f>
        <v>0</v>
      </c>
      <c r="E50" s="162" t="str">
        <f>standaardisering!K56</f>
        <v>mg/kg ds</v>
      </c>
      <c r="H50" s="169"/>
      <c r="L50" s="295"/>
    </row>
    <row r="51" spans="2:12" x14ac:dyDescent="0.25">
      <c r="B51" s="188" t="str">
        <f>standaardisering!B57</f>
        <v>PCB180</v>
      </c>
      <c r="C51" s="162">
        <f>standaardisering!C57</f>
        <v>0</v>
      </c>
      <c r="D51" s="181">
        <f>standaardisering!I57</f>
        <v>0</v>
      </c>
      <c r="E51" s="162" t="str">
        <f>standaardisering!K57</f>
        <v>mg/kg ds</v>
      </c>
      <c r="H51" s="169"/>
      <c r="L51" s="295"/>
    </row>
    <row r="52" spans="2:12" x14ac:dyDescent="0.25">
      <c r="B52" s="188" t="str">
        <f>standaardisering!B58</f>
        <v>PCBs (som 7)</v>
      </c>
      <c r="C52" s="162">
        <f>standaardisering!C58</f>
        <v>0</v>
      </c>
      <c r="D52" s="162">
        <f>standaardisering!I58</f>
        <v>0</v>
      </c>
      <c r="E52" s="162" t="str">
        <f>standaardisering!K58</f>
        <v>mg/kg ds</v>
      </c>
      <c r="F52" s="162">
        <v>0.1</v>
      </c>
      <c r="G52" s="162">
        <v>1</v>
      </c>
      <c r="H52" s="169" t="str">
        <f>IF(D52&gt;F52,"Niet verspreidbaar","Verspreidbaar")</f>
        <v>Verspreidbaar</v>
      </c>
      <c r="I52" s="288">
        <v>0.1</v>
      </c>
      <c r="K52" s="288">
        <f>I52*1.5</f>
        <v>0.15000000000000002</v>
      </c>
      <c r="L52" s="295" t="str">
        <f>H52</f>
        <v>Verspreidbaar</v>
      </c>
    </row>
    <row r="53" spans="2:12" x14ac:dyDescent="0.25">
      <c r="B53" s="188" t="str">
        <f>standaardisering!B59</f>
        <v>Chloorbenzenen (som)</v>
      </c>
      <c r="C53" s="162">
        <f>standaardisering!C59</f>
        <v>0</v>
      </c>
      <c r="D53" s="181">
        <f>standaardisering!I59</f>
        <v>0</v>
      </c>
      <c r="E53" s="162" t="str">
        <f>standaardisering!K59</f>
        <v>mg/kg ds</v>
      </c>
      <c r="G53" s="162">
        <v>30</v>
      </c>
      <c r="H53" s="169" t="str">
        <f>IF(D53&gt;G53,"Niet verspreidbaar","Verspreidbaar")</f>
        <v>Verspreidbaar</v>
      </c>
      <c r="L53" s="295"/>
    </row>
    <row r="54" spans="2:12" x14ac:dyDescent="0.25">
      <c r="B54" s="188" t="str">
        <f>standaardisering!B60</f>
        <v>Pentachloorbenzeen</v>
      </c>
      <c r="C54" s="162">
        <f>standaardisering!C60</f>
        <v>0</v>
      </c>
      <c r="D54" s="181">
        <f>standaardisering!I60</f>
        <v>0</v>
      </c>
      <c r="E54" s="162" t="str">
        <f>standaardisering!K60</f>
        <v>mg/kg ds</v>
      </c>
      <c r="H54" s="169"/>
      <c r="L54" s="295"/>
    </row>
    <row r="55" spans="2:12" x14ac:dyDescent="0.25">
      <c r="B55" s="188" t="str">
        <f>standaardisering!B61</f>
        <v>Hexachloorbenzeen</v>
      </c>
      <c r="C55" s="162">
        <f>standaardisering!C61</f>
        <v>0</v>
      </c>
      <c r="D55" s="181">
        <f>standaardisering!I61</f>
        <v>0</v>
      </c>
      <c r="E55" s="162" t="str">
        <f>standaardisering!K61</f>
        <v>mg/kg ds</v>
      </c>
      <c r="F55" s="162">
        <v>0.02</v>
      </c>
      <c r="H55" s="169" t="str">
        <f>IF(D55&gt;F55,"Niet verspreidbaar","Verspreidbaar")</f>
        <v>Verspreidbaar</v>
      </c>
      <c r="L55" s="295"/>
    </row>
    <row r="56" spans="2:12" x14ac:dyDescent="0.25">
      <c r="B56" s="188" t="str">
        <f>standaardisering!B62</f>
        <v>chloorfenolen (som)</v>
      </c>
      <c r="C56" s="162">
        <f>standaardisering!C62</f>
        <v>0</v>
      </c>
      <c r="D56" s="181">
        <f>standaardisering!I62</f>
        <v>0</v>
      </c>
      <c r="E56" s="162" t="str">
        <f>standaardisering!K62</f>
        <v>mg/kg ds</v>
      </c>
      <c r="G56" s="162">
        <v>10</v>
      </c>
      <c r="H56" s="169" t="str">
        <f>IF(D56&gt;G56,"Niet verspreidbaar","Verspreidbaar")</f>
        <v>Verspreidbaar</v>
      </c>
      <c r="L56" s="295"/>
    </row>
    <row r="57" spans="2:12" x14ac:dyDescent="0.25">
      <c r="B57" s="188" t="str">
        <f>standaardisering!B63</f>
        <v>Pentachloorfenol en de zouten en esters daarvan</v>
      </c>
      <c r="C57" s="162">
        <f>standaardisering!C63</f>
        <v>0</v>
      </c>
      <c r="D57" s="181">
        <f>standaardisering!I63</f>
        <v>0</v>
      </c>
      <c r="E57" s="162" t="str">
        <f>standaardisering!K63</f>
        <v>mg/kg ds</v>
      </c>
      <c r="G57" s="162">
        <v>5</v>
      </c>
      <c r="H57" s="169" t="str">
        <f>IF(D57&gt;G57,"Niet verspreidbaar","Verspreidbaar")</f>
        <v>Verspreidbaar</v>
      </c>
      <c r="L57" s="295"/>
    </row>
    <row r="58" spans="2:12" x14ac:dyDescent="0.25">
      <c r="B58" s="188"/>
      <c r="H58" s="169"/>
      <c r="L58" s="295"/>
    </row>
    <row r="59" spans="2:12" x14ac:dyDescent="0.25">
      <c r="B59" s="187" t="str">
        <f>standaardisering!B65</f>
        <v xml:space="preserve">Bestrijdingsmiddelen </v>
      </c>
      <c r="C59" s="162" t="str">
        <f>standaardisering!C65</f>
        <v>rapportagegrens</v>
      </c>
      <c r="H59" s="169"/>
      <c r="L59" s="295"/>
    </row>
    <row r="60" spans="2:12" x14ac:dyDescent="0.25">
      <c r="B60" s="188" t="str">
        <f>standaardisering!B66</f>
        <v>Chloordaan (chloordaan (som) kan hiervoor worden ingevuld)</v>
      </c>
      <c r="C60" s="162">
        <f>standaardisering!C66</f>
        <v>0</v>
      </c>
      <c r="D60" s="179">
        <f>standaardisering!I66</f>
        <v>0</v>
      </c>
      <c r="E60" s="162" t="str">
        <f>standaardisering!K66</f>
        <v>mg/kg ds</v>
      </c>
      <c r="G60" s="162">
        <v>4</v>
      </c>
      <c r="H60" s="169" t="str">
        <f>IF(D60&gt;G60,"Niet verspreidbaar","Verspreidbaar")</f>
        <v>Verspreidbaar</v>
      </c>
      <c r="L60" s="295"/>
    </row>
    <row r="61" spans="2:12" x14ac:dyDescent="0.25">
      <c r="B61" s="188" t="str">
        <f>standaardisering!B67</f>
        <v>DDT</v>
      </c>
      <c r="C61" s="162">
        <f>standaardisering!C67</f>
        <v>0</v>
      </c>
      <c r="D61" s="179">
        <f>standaardisering!I67</f>
        <v>0</v>
      </c>
      <c r="E61" s="162" t="str">
        <f>standaardisering!K67</f>
        <v>mg/kg ds</v>
      </c>
      <c r="H61" s="169"/>
      <c r="L61" s="295"/>
    </row>
    <row r="62" spans="2:12" x14ac:dyDescent="0.25">
      <c r="B62" s="188" t="str">
        <f>standaardisering!B68</f>
        <v xml:space="preserve">DDE of 2,2-bis(p-chlorophenyl)-1,1-dichloroethylene </v>
      </c>
      <c r="C62" s="162">
        <f>standaardisering!C68</f>
        <v>0</v>
      </c>
      <c r="D62" s="179">
        <f>standaardisering!I68</f>
        <v>0</v>
      </c>
      <c r="E62" s="162" t="str">
        <f>standaardisering!K68</f>
        <v>mg/kg ds</v>
      </c>
      <c r="H62" s="169"/>
      <c r="L62" s="295"/>
    </row>
    <row r="63" spans="2:12" x14ac:dyDescent="0.25">
      <c r="B63" s="188" t="str">
        <f>standaardisering!B69</f>
        <v>DDD of dichlorodiphenyldichloroethane</v>
      </c>
      <c r="C63" s="162">
        <f>standaardisering!C69</f>
        <v>0</v>
      </c>
      <c r="D63" s="179">
        <f>standaardisering!I69</f>
        <v>0</v>
      </c>
      <c r="E63" s="162" t="str">
        <f>standaardisering!K69</f>
        <v>mg/kg ds</v>
      </c>
      <c r="H63" s="169"/>
      <c r="L63" s="295"/>
    </row>
    <row r="64" spans="2:12" x14ac:dyDescent="0.25">
      <c r="B64" s="188" t="str">
        <f>standaardisering!B70</f>
        <v>DDT/DDE/DDD(som)</v>
      </c>
      <c r="C64" s="162">
        <f>standaardisering!C70</f>
        <v>0</v>
      </c>
      <c r="D64" s="179">
        <f>standaardisering!I70</f>
        <v>0</v>
      </c>
      <c r="E64" s="162" t="str">
        <f>standaardisering!K70</f>
        <v>mg/kg ds</v>
      </c>
      <c r="F64" s="162">
        <v>0.02</v>
      </c>
      <c r="G64" s="162">
        <v>4</v>
      </c>
      <c r="H64" s="169" t="str">
        <f>IF(D64&gt;F64,"Niet verspreidbaar","Verspreidbaar")</f>
        <v>Verspreidbaar</v>
      </c>
      <c r="L64" s="295"/>
    </row>
    <row r="65" spans="2:12" x14ac:dyDescent="0.25">
      <c r="B65" s="188" t="str">
        <f>standaardisering!B71</f>
        <v>Aldrin</v>
      </c>
      <c r="C65" s="162">
        <f>standaardisering!C71</f>
        <v>0</v>
      </c>
      <c r="D65" s="179">
        <f>standaardisering!I71</f>
        <v>0</v>
      </c>
      <c r="E65" s="162" t="str">
        <f>standaardisering!K71</f>
        <v>mg/kg ds</v>
      </c>
      <c r="H65" s="169"/>
      <c r="L65" s="295"/>
    </row>
    <row r="66" spans="2:12" x14ac:dyDescent="0.25">
      <c r="B66" s="188" t="str">
        <f>standaardisering!B72</f>
        <v>Dieldrin</v>
      </c>
      <c r="C66" s="162">
        <f>standaardisering!C72</f>
        <v>0</v>
      </c>
      <c r="D66" s="179">
        <f>standaardisering!I72</f>
        <v>0</v>
      </c>
      <c r="E66" s="162" t="str">
        <f>standaardisering!K72</f>
        <v>mg/kg ds</v>
      </c>
      <c r="H66" s="169"/>
      <c r="L66" s="295"/>
    </row>
    <row r="67" spans="2:12" x14ac:dyDescent="0.25">
      <c r="B67" s="188" t="str">
        <f>standaardisering!B73</f>
        <v>Endrin</v>
      </c>
      <c r="C67" s="162">
        <f>standaardisering!C73</f>
        <v>0</v>
      </c>
      <c r="D67" s="179">
        <f>standaardisering!I73</f>
        <v>0</v>
      </c>
      <c r="E67" s="162" t="str">
        <f>standaardisering!K73</f>
        <v>mg/kg ds</v>
      </c>
      <c r="H67" s="169"/>
      <c r="L67" s="295"/>
    </row>
    <row r="68" spans="2:12" x14ac:dyDescent="0.25">
      <c r="B68" s="188" t="str">
        <f>standaardisering!B74</f>
        <v>Isodrin</v>
      </c>
      <c r="C68" s="162">
        <f>standaardisering!C74</f>
        <v>0</v>
      </c>
      <c r="D68" s="179">
        <f>standaardisering!I74</f>
        <v>0</v>
      </c>
      <c r="E68" s="162" t="str">
        <f>standaardisering!K74</f>
        <v>mg/kg ds</v>
      </c>
      <c r="H68" s="169"/>
      <c r="L68" s="295"/>
    </row>
    <row r="69" spans="2:12" x14ac:dyDescent="0.25">
      <c r="B69" s="188" t="str">
        <f>standaardisering!B75</f>
        <v>Isobenzan of telodrin</v>
      </c>
      <c r="C69" s="162">
        <f>standaardisering!C75</f>
        <v>0</v>
      </c>
      <c r="D69" s="179">
        <f>standaardisering!I75</f>
        <v>0</v>
      </c>
      <c r="E69" s="162" t="str">
        <f>standaardisering!K75</f>
        <v>mg/kg ds</v>
      </c>
      <c r="H69" s="169"/>
      <c r="L69" s="295"/>
    </row>
    <row r="70" spans="2:12" x14ac:dyDescent="0.25">
      <c r="B70" s="188" t="str">
        <f>standaardisering!B76</f>
        <v>Drins (som)</v>
      </c>
      <c r="C70" s="162">
        <f>standaardisering!C76</f>
        <v>0</v>
      </c>
      <c r="D70" s="179">
        <f>standaardisering!I76</f>
        <v>0</v>
      </c>
      <c r="E70" s="162" t="str">
        <f>standaardisering!K76</f>
        <v>mg/kg ds</v>
      </c>
      <c r="G70" s="162">
        <v>4</v>
      </c>
      <c r="H70" s="169" t="str">
        <f>IF(D70&gt;G70,"Niet verspreidbaar","Verspreidbaar")</f>
        <v>Verspreidbaar</v>
      </c>
      <c r="L70" s="295"/>
    </row>
    <row r="71" spans="2:12" x14ac:dyDescent="0.25">
      <c r="B71" s="188" t="str">
        <f>standaardisering!B77</f>
        <v>alfa-endosulfan</v>
      </c>
      <c r="C71" s="162">
        <f>standaardisering!C77</f>
        <v>0</v>
      </c>
      <c r="D71" s="179">
        <f>standaardisering!I77</f>
        <v>0</v>
      </c>
      <c r="E71" s="162" t="str">
        <f>standaardisering!K77</f>
        <v>mg/kg ds</v>
      </c>
      <c r="G71" s="162">
        <v>4</v>
      </c>
      <c r="H71" s="169" t="str">
        <f>IF(D71&gt;G71,"Niet verspreidbaar","Verspreidbaar")</f>
        <v>Verspreidbaar</v>
      </c>
      <c r="L71" s="295"/>
    </row>
    <row r="72" spans="2:12" x14ac:dyDescent="0.25">
      <c r="B72" s="188" t="str">
        <f>standaardisering!B78</f>
        <v>alfa-HCH</v>
      </c>
      <c r="C72" s="162">
        <f>standaardisering!C78</f>
        <v>0</v>
      </c>
      <c r="D72" s="179">
        <f>standaardisering!I78</f>
        <v>0</v>
      </c>
      <c r="E72" s="162" t="str">
        <f>standaardisering!K78</f>
        <v>mg/kg ds</v>
      </c>
      <c r="H72" s="169"/>
      <c r="L72" s="295"/>
    </row>
    <row r="73" spans="2:12" x14ac:dyDescent="0.25">
      <c r="B73" s="188" t="str">
        <f>standaardisering!B79</f>
        <v>beta-HCH</v>
      </c>
      <c r="C73" s="162">
        <f>standaardisering!C79</f>
        <v>0</v>
      </c>
      <c r="D73" s="179">
        <f>standaardisering!I79</f>
        <v>0</v>
      </c>
      <c r="E73" s="162" t="str">
        <f>standaardisering!K79</f>
        <v>mg/kg ds</v>
      </c>
      <c r="H73" s="169"/>
      <c r="L73" s="295"/>
    </row>
    <row r="74" spans="2:12" x14ac:dyDescent="0.25">
      <c r="B74" s="188" t="str">
        <f>standaardisering!B80</f>
        <v>delta-HCH</v>
      </c>
      <c r="C74" s="162">
        <f>standaardisering!C80</f>
        <v>0</v>
      </c>
      <c r="D74" s="179">
        <f>standaardisering!I80</f>
        <v>0</v>
      </c>
      <c r="E74" s="162" t="str">
        <f>standaardisering!K80</f>
        <v>mg/kg ds</v>
      </c>
      <c r="H74" s="169"/>
      <c r="L74" s="295"/>
    </row>
    <row r="75" spans="2:12" x14ac:dyDescent="0.25">
      <c r="B75" s="188" t="str">
        <f>standaardisering!B81</f>
        <v>gamma-HCH</v>
      </c>
      <c r="C75" s="162">
        <f>standaardisering!C81</f>
        <v>0</v>
      </c>
      <c r="D75" s="179">
        <f>standaardisering!I81</f>
        <v>0</v>
      </c>
      <c r="E75" s="162" t="str">
        <f>standaardisering!K81</f>
        <v>mg/kg ds</v>
      </c>
      <c r="H75" s="169"/>
      <c r="L75" s="295"/>
    </row>
    <row r="76" spans="2:12" x14ac:dyDescent="0.25">
      <c r="B76" s="188" t="str">
        <f>standaardisering!B82</f>
        <v>HCH (alle hexachloorcyclohexanen, inclusief lindaan)</v>
      </c>
      <c r="C76" s="162">
        <f>standaardisering!C82</f>
        <v>0</v>
      </c>
      <c r="D76" s="179">
        <f>standaardisering!I82</f>
        <v>0</v>
      </c>
      <c r="E76" s="162" t="str">
        <f>standaardisering!K82</f>
        <v>mg/kg ds</v>
      </c>
      <c r="G76" s="162">
        <v>2</v>
      </c>
      <c r="H76" s="169" t="str">
        <f>IF(D76&gt;G76,"Niet verspreidbaar","Verspreidbaar")</f>
        <v>Verspreidbaar</v>
      </c>
      <c r="L76" s="295"/>
    </row>
    <row r="77" spans="2:12" x14ac:dyDescent="0.25">
      <c r="B77" s="188" t="str">
        <f>standaardisering!B83</f>
        <v>Heptachloor</v>
      </c>
      <c r="C77" s="162">
        <f>standaardisering!C83</f>
        <v>0</v>
      </c>
      <c r="D77" s="179">
        <f>standaardisering!I83</f>
        <v>0</v>
      </c>
      <c r="E77" s="162" t="str">
        <f>standaardisering!K83</f>
        <v>mg/kg ds</v>
      </c>
      <c r="G77" s="162">
        <v>4</v>
      </c>
      <c r="H77" s="169" t="str">
        <f>IF(D77&gt;G77,"Niet verspreidbaar","Verspreidbaar")</f>
        <v>Verspreidbaar</v>
      </c>
      <c r="L77" s="295"/>
    </row>
    <row r="78" spans="2:12" x14ac:dyDescent="0.25">
      <c r="B78" s="188" t="str">
        <f>standaardisering!B84</f>
        <v>Heptachloorepoxide</v>
      </c>
      <c r="C78" s="162">
        <f>standaardisering!C84</f>
        <v>0</v>
      </c>
      <c r="D78" s="179">
        <f>standaardisering!I84</f>
        <v>0</v>
      </c>
      <c r="E78" s="162" t="str">
        <f>standaardisering!K84</f>
        <v>mg/kg ds</v>
      </c>
      <c r="G78" s="162">
        <v>4</v>
      </c>
      <c r="H78" s="169" t="str">
        <f>IF(D78&gt;G78,"Niet verspreidbaar","Verspreidbaar")</f>
        <v>Verspreidbaar</v>
      </c>
      <c r="L78" s="295"/>
    </row>
    <row r="79" spans="2:12" x14ac:dyDescent="0.25">
      <c r="B79" s="188" t="str">
        <f>standaardisering!B85</f>
        <v>Hexachloorbutadieen</v>
      </c>
      <c r="C79" s="162">
        <f>standaardisering!C85</f>
        <v>0</v>
      </c>
      <c r="D79" s="179">
        <f>standaardisering!I85</f>
        <v>0</v>
      </c>
      <c r="E79" s="162" t="str">
        <f>standaardisering!K85</f>
        <v>mg/kg ds</v>
      </c>
      <c r="H79" s="169"/>
      <c r="L79" s="295"/>
    </row>
    <row r="80" spans="2:12" x14ac:dyDescent="0.25">
      <c r="B80" s="188" t="str">
        <f>standaardisering!B86</f>
        <v>Enodsulfansulfaat</v>
      </c>
      <c r="C80" s="162">
        <f>standaardisering!C86</f>
        <v>0</v>
      </c>
      <c r="D80" s="179">
        <f>standaardisering!I86</f>
        <v>0</v>
      </c>
      <c r="E80" s="162" t="str">
        <f>standaardisering!K86</f>
        <v>mg/kg ds</v>
      </c>
      <c r="H80" s="169"/>
      <c r="L80" s="295"/>
    </row>
    <row r="81" spans="2:12" x14ac:dyDescent="0.25">
      <c r="B81" s="188" t="str">
        <f>standaardisering!B87</f>
        <v>OCB (som)</v>
      </c>
      <c r="C81" s="162">
        <f>standaardisering!C87</f>
        <v>0</v>
      </c>
      <c r="D81" s="179">
        <f>standaardisering!I87</f>
        <v>0</v>
      </c>
      <c r="E81" s="162" t="str">
        <f>standaardisering!K87</f>
        <v>mg/kg ds</v>
      </c>
      <c r="H81" s="169"/>
      <c r="L81" s="295"/>
    </row>
    <row r="82" spans="2:12" x14ac:dyDescent="0.25">
      <c r="B82" s="188"/>
      <c r="H82" s="169"/>
      <c r="L82" s="295"/>
    </row>
    <row r="83" spans="2:12" x14ac:dyDescent="0.25">
      <c r="B83" s="187" t="str">
        <f>standaardisering!B89</f>
        <v>Organotin bestrijdingsmiddelen</v>
      </c>
      <c r="C83" s="162">
        <f>standaardisering!C89</f>
        <v>0</v>
      </c>
      <c r="H83" s="169"/>
      <c r="L83" s="295"/>
    </row>
    <row r="84" spans="2:12" x14ac:dyDescent="0.25">
      <c r="B84" s="188" t="str">
        <f>standaardisering!B90</f>
        <v>organotinverbindingen</v>
      </c>
      <c r="C84" s="162">
        <f>standaardisering!C90</f>
        <v>0</v>
      </c>
      <c r="D84" s="162">
        <f>standaardisering!I90</f>
        <v>0</v>
      </c>
      <c r="E84" s="162" t="str">
        <f>standaardisering!K90</f>
        <v>mg/kg ds</v>
      </c>
      <c r="G84" s="162">
        <v>2.5</v>
      </c>
      <c r="H84" s="169" t="str">
        <f>IF(D84&gt;G84,"Niet verspreidbaar","Verspreidbaar")</f>
        <v>Verspreidbaar</v>
      </c>
      <c r="L84" s="295"/>
    </row>
    <row r="85" spans="2:12" ht="13.8" thickBot="1" x14ac:dyDescent="0.3">
      <c r="B85" s="188" t="str">
        <f>standaardisering!B91</f>
        <v>Tributyltin</v>
      </c>
      <c r="C85" s="162">
        <f>standaardisering!C91</f>
        <v>0</v>
      </c>
      <c r="D85" s="162">
        <f>standaardisering!I91</f>
        <v>0</v>
      </c>
      <c r="E85" s="162" t="str">
        <f>standaardisering!K91</f>
        <v>mg/kg ds</v>
      </c>
      <c r="F85" s="162">
        <v>0.25</v>
      </c>
      <c r="H85" s="169" t="str">
        <f>IF(D85&gt;F85,"Niet verspreidbaar","Verspreidbaar")</f>
        <v>Verspreidbaar</v>
      </c>
      <c r="I85" s="296"/>
      <c r="J85" s="296"/>
      <c r="K85" s="296"/>
      <c r="L85" s="297" t="str">
        <f>H85</f>
        <v>Verspreidbaar</v>
      </c>
    </row>
    <row r="86" spans="2:12" x14ac:dyDescent="0.25">
      <c r="B86" s="188"/>
      <c r="H86" s="169"/>
    </row>
    <row r="87" spans="2:12" x14ac:dyDescent="0.25">
      <c r="B87" s="187" t="s">
        <v>477</v>
      </c>
      <c r="H87" s="174" t="str">
        <f>R16</f>
        <v>Wel verspreidbaar</v>
      </c>
    </row>
    <row r="88" spans="2:12" ht="13.8" thickBot="1" x14ac:dyDescent="0.3">
      <c r="B88" s="189" t="s">
        <v>478</v>
      </c>
      <c r="C88" s="177"/>
      <c r="D88" s="177"/>
      <c r="E88" s="177"/>
      <c r="F88" s="177"/>
      <c r="G88" s="177"/>
      <c r="H88" s="183" t="str">
        <f>IF(D27&gt;=100,"Sterk verontreinigd","Niet verontreinigd")</f>
        <v>Niet verontreinigd</v>
      </c>
    </row>
    <row r="89" spans="2:12" ht="13.8" thickBot="1" x14ac:dyDescent="0.3"/>
    <row r="90" spans="2:12" x14ac:dyDescent="0.25">
      <c r="B90" s="190" t="str">
        <f>'Toepassen op waterbodem'!B90</f>
        <v xml:space="preserve">PFAS verbindingen </v>
      </c>
      <c r="C90" s="166"/>
      <c r="D90" s="166" t="str">
        <f>'Toepassen op waterbodem'!D90</f>
        <v>gestandaardiseerd gehalte</v>
      </c>
      <c r="E90" s="166" t="str">
        <f>'Toepassen op waterbodem'!E90</f>
        <v>Eenheid</v>
      </c>
      <c r="F90" s="166" t="str">
        <f>'Toepassen op waterbodem'!F90</f>
        <v>Toetswaarde</v>
      </c>
      <c r="G90" s="166" t="str">
        <f>'Toepassen op waterbodem'!G90</f>
        <v>Parameteroordeel</v>
      </c>
      <c r="H90" s="165"/>
    </row>
    <row r="91" spans="2:12" x14ac:dyDescent="0.25">
      <c r="B91" s="191" t="str">
        <f>'Toepassen op waterbodem'!B91</f>
        <v>Perfluorbutaanzuur (PFBA)</v>
      </c>
      <c r="C91" s="168"/>
      <c r="D91" s="192">
        <f>'Toepassen op waterbodem'!D91</f>
        <v>0</v>
      </c>
      <c r="E91" s="168" t="str">
        <f>'Toepassen op waterbodem'!E91</f>
        <v>µg/kg ds</v>
      </c>
      <c r="F91" s="168">
        <f>'Toepassen op waterbodem'!F91</f>
        <v>0.8</v>
      </c>
      <c r="G91" s="168" t="str">
        <f>'Toepassen op waterbodem'!G91</f>
        <v>toepasbaar</v>
      </c>
      <c r="H91" s="169"/>
    </row>
    <row r="92" spans="2:12" x14ac:dyDescent="0.25">
      <c r="B92" s="191" t="str">
        <f>'Toepassen op waterbodem'!B92</f>
        <v>Perfluorpentaanzuur (PFPeA)</v>
      </c>
      <c r="C92" s="168"/>
      <c r="D92" s="192">
        <f>'Toepassen op waterbodem'!D92</f>
        <v>0</v>
      </c>
      <c r="E92" s="168" t="str">
        <f>'Toepassen op waterbodem'!E92</f>
        <v>µg/kg ds</v>
      </c>
      <c r="F92" s="168">
        <f>'Toepassen op waterbodem'!F92</f>
        <v>0.8</v>
      </c>
      <c r="G92" s="168" t="str">
        <f>'Toepassen op waterbodem'!G92</f>
        <v>toepasbaar</v>
      </c>
      <c r="H92" s="169"/>
    </row>
    <row r="93" spans="2:12" x14ac:dyDescent="0.25">
      <c r="B93" s="191" t="str">
        <f>'Toepassen op waterbodem'!B93</f>
        <v>Perfluorhexaanzuur (PFHxA )</v>
      </c>
      <c r="C93" s="168"/>
      <c r="D93" s="192">
        <f>'Toepassen op waterbodem'!D93</f>
        <v>0</v>
      </c>
      <c r="E93" s="168" t="str">
        <f>'Toepassen op waterbodem'!E93</f>
        <v>µg/kg ds</v>
      </c>
      <c r="F93" s="168">
        <f>'Toepassen op waterbodem'!F93</f>
        <v>0.8</v>
      </c>
      <c r="G93" s="168" t="str">
        <f>'Toepassen op waterbodem'!G93</f>
        <v>toepasbaar</v>
      </c>
      <c r="H93" s="169"/>
    </row>
    <row r="94" spans="2:12" x14ac:dyDescent="0.25">
      <c r="B94" s="191" t="str">
        <f>'Toepassen op waterbodem'!B94</f>
        <v>Perfluorheptaanzuur (PFHpA)</v>
      </c>
      <c r="C94" s="168"/>
      <c r="D94" s="192">
        <f>'Toepassen op waterbodem'!D94</f>
        <v>0</v>
      </c>
      <c r="E94" s="168" t="str">
        <f>'Toepassen op waterbodem'!E94</f>
        <v>µg/kg ds</v>
      </c>
      <c r="F94" s="168">
        <f>'Toepassen op waterbodem'!F94</f>
        <v>0.8</v>
      </c>
      <c r="G94" s="168" t="str">
        <f>'Toepassen op waterbodem'!G94</f>
        <v>toepasbaar</v>
      </c>
      <c r="H94" s="169"/>
    </row>
    <row r="95" spans="2:12" x14ac:dyDescent="0.25">
      <c r="B95" s="191" t="str">
        <f>'Toepassen op waterbodem'!B95</f>
        <v>Perfluornonaanzuur (PFNA)</v>
      </c>
      <c r="C95" s="168"/>
      <c r="D95" s="192">
        <f>'Toepassen op waterbodem'!D95</f>
        <v>0</v>
      </c>
      <c r="E95" s="168" t="str">
        <f>'Toepassen op waterbodem'!E95</f>
        <v>µg/kg ds</v>
      </c>
      <c r="F95" s="168">
        <f>'Toepassen op waterbodem'!F95</f>
        <v>0.8</v>
      </c>
      <c r="G95" s="168" t="str">
        <f>'Toepassen op waterbodem'!G95</f>
        <v>toepasbaar</v>
      </c>
      <c r="H95" s="169"/>
    </row>
    <row r="96" spans="2:12" x14ac:dyDescent="0.25">
      <c r="B96" s="191" t="str">
        <f>'Toepassen op waterbodem'!B96</f>
        <v>Perfluordecaanzuur (PFDA)</v>
      </c>
      <c r="C96" s="168"/>
      <c r="D96" s="192">
        <f>'Toepassen op waterbodem'!D96</f>
        <v>0</v>
      </c>
      <c r="E96" s="168" t="str">
        <f>'Toepassen op waterbodem'!E96</f>
        <v>µg/kg ds</v>
      </c>
      <c r="F96" s="168">
        <f>'Toepassen op waterbodem'!F96</f>
        <v>0.8</v>
      </c>
      <c r="G96" s="168" t="str">
        <f>'Toepassen op waterbodem'!G96</f>
        <v>toepasbaar</v>
      </c>
      <c r="H96" s="169"/>
    </row>
    <row r="97" spans="2:8" x14ac:dyDescent="0.25">
      <c r="B97" s="191" t="str">
        <f>'Toepassen op waterbodem'!B97</f>
        <v>Perfluorundecaanzuur (PFUnDA)</v>
      </c>
      <c r="C97" s="168"/>
      <c r="D97" s="192">
        <f>'Toepassen op waterbodem'!D97</f>
        <v>0</v>
      </c>
      <c r="E97" s="168" t="str">
        <f>'Toepassen op waterbodem'!E97</f>
        <v>µg/kg ds</v>
      </c>
      <c r="F97" s="168">
        <f>'Toepassen op waterbodem'!F97</f>
        <v>0.8</v>
      </c>
      <c r="G97" s="168" t="str">
        <f>'Toepassen op waterbodem'!G97</f>
        <v>toepasbaar</v>
      </c>
      <c r="H97" s="169"/>
    </row>
    <row r="98" spans="2:8" x14ac:dyDescent="0.25">
      <c r="B98" s="191" t="str">
        <f>'Toepassen op waterbodem'!B98</f>
        <v>Perfluordodecaanzuur (PFDoDA)</v>
      </c>
      <c r="C98" s="168"/>
      <c r="D98" s="192">
        <f>'Toepassen op waterbodem'!D98</f>
        <v>0</v>
      </c>
      <c r="E98" s="168" t="str">
        <f>'Toepassen op waterbodem'!E98</f>
        <v>µg/kg ds</v>
      </c>
      <c r="F98" s="168">
        <f>'Toepassen op waterbodem'!F98</f>
        <v>0.8</v>
      </c>
      <c r="G98" s="168" t="str">
        <f>'Toepassen op waterbodem'!G98</f>
        <v>toepasbaar</v>
      </c>
      <c r="H98" s="169"/>
    </row>
    <row r="99" spans="2:8" x14ac:dyDescent="0.25">
      <c r="B99" s="191" t="str">
        <f>'Toepassen op waterbodem'!B99</f>
        <v>Perfluortridecaanzuur (PFTrDA)</v>
      </c>
      <c r="C99" s="168"/>
      <c r="D99" s="192">
        <f>'Toepassen op waterbodem'!D99</f>
        <v>0</v>
      </c>
      <c r="E99" s="168" t="str">
        <f>'Toepassen op waterbodem'!E99</f>
        <v>µg/kg ds</v>
      </c>
      <c r="F99" s="168">
        <f>'Toepassen op waterbodem'!F99</f>
        <v>0.8</v>
      </c>
      <c r="G99" s="168" t="str">
        <f>'Toepassen op waterbodem'!G99</f>
        <v>toepasbaar</v>
      </c>
      <c r="H99" s="169"/>
    </row>
    <row r="100" spans="2:8" x14ac:dyDescent="0.25">
      <c r="B100" s="191" t="str">
        <f>'Toepassen op waterbodem'!B100</f>
        <v>Perfluortetradecaanzuur (PFTeDA)</v>
      </c>
      <c r="C100" s="168"/>
      <c r="D100" s="192">
        <f>'Toepassen op waterbodem'!D100</f>
        <v>0</v>
      </c>
      <c r="E100" s="168" t="str">
        <f>'Toepassen op waterbodem'!E100</f>
        <v>µg/kg ds</v>
      </c>
      <c r="F100" s="168">
        <f>'Toepassen op waterbodem'!F100</f>
        <v>0.8</v>
      </c>
      <c r="G100" s="168" t="str">
        <f>'Toepassen op waterbodem'!G100</f>
        <v>toepasbaar</v>
      </c>
      <c r="H100" s="169"/>
    </row>
    <row r="101" spans="2:8" x14ac:dyDescent="0.25">
      <c r="B101" s="191" t="str">
        <f>'Toepassen op waterbodem'!B101</f>
        <v>Perfluorhexaandecaanzuur (PFHxDA)</v>
      </c>
      <c r="C101" s="168"/>
      <c r="D101" s="192">
        <f>'Toepassen op waterbodem'!D101</f>
        <v>0</v>
      </c>
      <c r="E101" s="168" t="str">
        <f>'Toepassen op waterbodem'!E101</f>
        <v>µg/kg ds</v>
      </c>
      <c r="F101" s="168">
        <f>'Toepassen op waterbodem'!F101</f>
        <v>0.8</v>
      </c>
      <c r="G101" s="168" t="str">
        <f>'Toepassen op waterbodem'!G101</f>
        <v>toepasbaar</v>
      </c>
      <c r="H101" s="169"/>
    </row>
    <row r="102" spans="2:8" x14ac:dyDescent="0.25">
      <c r="B102" s="191" t="str">
        <f>'Toepassen op waterbodem'!B102</f>
        <v>Perfluoroctadecaanzuur (PFODA)</v>
      </c>
      <c r="C102" s="168"/>
      <c r="D102" s="192">
        <f>'Toepassen op waterbodem'!D102</f>
        <v>0</v>
      </c>
      <c r="E102" s="168" t="str">
        <f>'Toepassen op waterbodem'!E102</f>
        <v>µg/kg ds</v>
      </c>
      <c r="F102" s="168">
        <f>'Toepassen op waterbodem'!F102</f>
        <v>0.8</v>
      </c>
      <c r="G102" s="168" t="str">
        <f>'Toepassen op waterbodem'!G102</f>
        <v>toepasbaar</v>
      </c>
      <c r="H102" s="169"/>
    </row>
    <row r="103" spans="2:8" x14ac:dyDescent="0.25">
      <c r="B103" s="191" t="str">
        <f>'Toepassen op waterbodem'!B103</f>
        <v>Perfluorbutaansulfonzuur (PFBS)</v>
      </c>
      <c r="C103" s="168"/>
      <c r="D103" s="192">
        <f>'Toepassen op waterbodem'!D103</f>
        <v>0</v>
      </c>
      <c r="E103" s="168" t="str">
        <f>'Toepassen op waterbodem'!E103</f>
        <v>µg/kg ds</v>
      </c>
      <c r="F103" s="168">
        <f>'Toepassen op waterbodem'!F103</f>
        <v>0.8</v>
      </c>
      <c r="G103" s="168" t="str">
        <f>'Toepassen op waterbodem'!G103</f>
        <v>toepasbaar</v>
      </c>
      <c r="H103" s="169"/>
    </row>
    <row r="104" spans="2:8" x14ac:dyDescent="0.25">
      <c r="B104" s="191" t="str">
        <f>'Toepassen op waterbodem'!B104</f>
        <v>Perfluorpentaansulfonzuur (PFPeS)</v>
      </c>
      <c r="C104" s="168"/>
      <c r="D104" s="192">
        <f>'Toepassen op waterbodem'!D104</f>
        <v>0</v>
      </c>
      <c r="E104" s="168" t="str">
        <f>'Toepassen op waterbodem'!E104</f>
        <v>µg/kg ds</v>
      </c>
      <c r="F104" s="168">
        <f>'Toepassen op waterbodem'!F104</f>
        <v>0.8</v>
      </c>
      <c r="G104" s="168" t="str">
        <f>'Toepassen op waterbodem'!G104</f>
        <v>toepasbaar</v>
      </c>
      <c r="H104" s="169"/>
    </row>
    <row r="105" spans="2:8" x14ac:dyDescent="0.25">
      <c r="B105" s="191" t="str">
        <f>'Toepassen op waterbodem'!B105</f>
        <v>Perfluorhexaansulfonzuur (PFHxS)</v>
      </c>
      <c r="C105" s="168"/>
      <c r="D105" s="192">
        <f>'Toepassen op waterbodem'!D105</f>
        <v>0</v>
      </c>
      <c r="E105" s="168" t="str">
        <f>'Toepassen op waterbodem'!E105</f>
        <v>µg/kg ds</v>
      </c>
      <c r="F105" s="168">
        <f>'Toepassen op waterbodem'!F105</f>
        <v>0.8</v>
      </c>
      <c r="G105" s="168" t="str">
        <f>'Toepassen op waterbodem'!G105</f>
        <v>toepasbaar</v>
      </c>
      <c r="H105" s="169"/>
    </row>
    <row r="106" spans="2:8" x14ac:dyDescent="0.25">
      <c r="B106" s="191" t="str">
        <f>'Toepassen op waterbodem'!B106</f>
        <v>Perfluorheptaansulfonzuur (PFHpS)</v>
      </c>
      <c r="C106" s="168"/>
      <c r="D106" s="192">
        <f>'Toepassen op waterbodem'!D106</f>
        <v>0</v>
      </c>
      <c r="E106" s="168" t="str">
        <f>'Toepassen op waterbodem'!E106</f>
        <v>µg/kg ds</v>
      </c>
      <c r="F106" s="168">
        <f>'Toepassen op waterbodem'!F106</f>
        <v>0.8</v>
      </c>
      <c r="G106" s="168" t="str">
        <f>'Toepassen op waterbodem'!G106</f>
        <v>toepasbaar</v>
      </c>
      <c r="H106" s="169"/>
    </row>
    <row r="107" spans="2:8" x14ac:dyDescent="0.25">
      <c r="B107" s="191" t="str">
        <f>'Toepassen op waterbodem'!B107</f>
        <v>Perfluordecaansulfonzuur (PFDS)</v>
      </c>
      <c r="C107" s="168"/>
      <c r="D107" s="192">
        <f>'Toepassen op waterbodem'!D107</f>
        <v>0</v>
      </c>
      <c r="E107" s="168" t="str">
        <f>'Toepassen op waterbodem'!E107</f>
        <v>µg/kg ds</v>
      </c>
      <c r="F107" s="168">
        <f>'Toepassen op waterbodem'!F107</f>
        <v>0.8</v>
      </c>
      <c r="G107" s="168" t="str">
        <f>'Toepassen op waterbodem'!G107</f>
        <v>toepasbaar</v>
      </c>
      <c r="H107" s="169"/>
    </row>
    <row r="108" spans="2:8" x14ac:dyDescent="0.25">
      <c r="B108" s="191" t="str">
        <f>'Toepassen op waterbodem'!B108</f>
        <v>4:2 fluortelomeer sulfonzuur (4:2FTS)</v>
      </c>
      <c r="C108" s="168"/>
      <c r="D108" s="192">
        <f>'Toepassen op waterbodem'!D108</f>
        <v>0</v>
      </c>
      <c r="E108" s="168" t="str">
        <f>'Toepassen op waterbodem'!E108</f>
        <v>µg/kg ds</v>
      </c>
      <c r="F108" s="168">
        <f>'Toepassen op waterbodem'!F108</f>
        <v>0.8</v>
      </c>
      <c r="G108" s="168" t="str">
        <f>'Toepassen op waterbodem'!G108</f>
        <v>toepasbaar</v>
      </c>
      <c r="H108" s="169"/>
    </row>
    <row r="109" spans="2:8" x14ac:dyDescent="0.25">
      <c r="B109" s="191" t="str">
        <f>'Toepassen op waterbodem'!B109</f>
        <v>6:2 fluortelomeer sulfonzuur (6:2FTS)</v>
      </c>
      <c r="C109" s="168"/>
      <c r="D109" s="192">
        <f>'Toepassen op waterbodem'!D109</f>
        <v>0</v>
      </c>
      <c r="E109" s="168" t="str">
        <f>'Toepassen op waterbodem'!E109</f>
        <v>µg/kg ds</v>
      </c>
      <c r="F109" s="168">
        <f>'Toepassen op waterbodem'!F109</f>
        <v>0.8</v>
      </c>
      <c r="G109" s="168" t="str">
        <f>'Toepassen op waterbodem'!G109</f>
        <v>toepasbaar</v>
      </c>
      <c r="H109" s="169"/>
    </row>
    <row r="110" spans="2:8" x14ac:dyDescent="0.25">
      <c r="B110" s="191" t="str">
        <f>'Toepassen op waterbodem'!B110</f>
        <v>8:2 fluortelomeer sulfonzuur (8:2FTS)</v>
      </c>
      <c r="C110" s="168"/>
      <c r="D110" s="192">
        <f>'Toepassen op waterbodem'!D110</f>
        <v>0</v>
      </c>
      <c r="E110" s="168" t="str">
        <f>'Toepassen op waterbodem'!E110</f>
        <v>µg/kg ds</v>
      </c>
      <c r="F110" s="168">
        <f>'Toepassen op waterbodem'!F110</f>
        <v>0.8</v>
      </c>
      <c r="G110" s="168" t="str">
        <f>'Toepassen op waterbodem'!G110</f>
        <v>toepasbaar</v>
      </c>
      <c r="H110" s="169"/>
    </row>
    <row r="111" spans="2:8" x14ac:dyDescent="0.25">
      <c r="B111" s="191" t="str">
        <f>'Toepassen op waterbodem'!B111</f>
        <v>10:2 fluortelomeer sulfonzuur (10:2FTS)</v>
      </c>
      <c r="C111" s="168"/>
      <c r="D111" s="192">
        <f>'Toepassen op waterbodem'!D111</f>
        <v>0</v>
      </c>
      <c r="E111" s="168" t="str">
        <f>'Toepassen op waterbodem'!E111</f>
        <v>µg/kg ds</v>
      </c>
      <c r="F111" s="168">
        <f>'Toepassen op waterbodem'!F111</f>
        <v>0.8</v>
      </c>
      <c r="G111" s="168" t="str">
        <f>'Toepassen op waterbodem'!G111</f>
        <v>toepasbaar</v>
      </c>
      <c r="H111" s="169"/>
    </row>
    <row r="112" spans="2:8" x14ac:dyDescent="0.25">
      <c r="B112" s="191" t="str">
        <f>'Toepassen op waterbodem'!B112</f>
        <v>Perfluoroctaansulfonamide (PFOSA)</v>
      </c>
      <c r="C112" s="168"/>
      <c r="D112" s="192">
        <f>'Toepassen op waterbodem'!D112</f>
        <v>0</v>
      </c>
      <c r="E112" s="168" t="str">
        <f>'Toepassen op waterbodem'!E112</f>
        <v>µg/kg ds</v>
      </c>
      <c r="F112" s="168">
        <f>'Toepassen op waterbodem'!F112</f>
        <v>0.8</v>
      </c>
      <c r="G112" s="168" t="str">
        <f>'Toepassen op waterbodem'!G112</f>
        <v>toepasbaar</v>
      </c>
      <c r="H112" s="169"/>
    </row>
    <row r="113" spans="2:8" x14ac:dyDescent="0.25">
      <c r="B113" s="191" t="str">
        <f>'Toepassen op waterbodem'!B113</f>
        <v>N-methyl-perfluoroctaansulfonamide (N-MeFOSA)</v>
      </c>
      <c r="C113" s="168"/>
      <c r="D113" s="192">
        <f>'Toepassen op waterbodem'!D113</f>
        <v>0</v>
      </c>
      <c r="E113" s="168" t="str">
        <f>'Toepassen op waterbodem'!E113</f>
        <v>µg/kg ds</v>
      </c>
      <c r="F113" s="168">
        <f>'Toepassen op waterbodem'!F113</f>
        <v>0.8</v>
      </c>
      <c r="G113" s="168" t="str">
        <f>'Toepassen op waterbodem'!G113</f>
        <v>toepasbaar</v>
      </c>
      <c r="H113" s="169"/>
    </row>
    <row r="114" spans="2:8" x14ac:dyDescent="0.25">
      <c r="B114" s="191" t="str">
        <f>'Toepassen op waterbodem'!B114</f>
        <v>N-methyl-perfluoroctaansulfonamide acetaat (N-MeFOSAA)</v>
      </c>
      <c r="C114" s="168"/>
      <c r="D114" s="192">
        <f>'Toepassen op waterbodem'!D114</f>
        <v>0</v>
      </c>
      <c r="E114" s="168" t="str">
        <f>'Toepassen op waterbodem'!E114</f>
        <v>µg/kg ds</v>
      </c>
      <c r="F114" s="168">
        <f>'Toepassen op waterbodem'!F114</f>
        <v>0.8</v>
      </c>
      <c r="G114" s="168" t="str">
        <f>'Toepassen op waterbodem'!G114</f>
        <v>toepasbaar</v>
      </c>
      <c r="H114" s="169"/>
    </row>
    <row r="115" spans="2:8" x14ac:dyDescent="0.25">
      <c r="B115" s="191" t="str">
        <f>'Toepassen op waterbodem'!B115</f>
        <v>N-ethyl-perfluoroctaansulfonamide acetaat (N-EtFOSAA)</v>
      </c>
      <c r="C115" s="168"/>
      <c r="D115" s="192">
        <f>'Toepassen op waterbodem'!D115</f>
        <v>0</v>
      </c>
      <c r="E115" s="168" t="str">
        <f>'Toepassen op waterbodem'!E115</f>
        <v>µg/kg ds</v>
      </c>
      <c r="F115" s="168">
        <f>'Toepassen op waterbodem'!F115</f>
        <v>0.8</v>
      </c>
      <c r="G115" s="168" t="str">
        <f>'Toepassen op waterbodem'!G115</f>
        <v>toepasbaar</v>
      </c>
      <c r="H115" s="169"/>
    </row>
    <row r="116" spans="2:8" x14ac:dyDescent="0.25">
      <c r="B116" s="191" t="str">
        <f>'Toepassen op waterbodem'!B116</f>
        <v>8:2 fluortelomeer fosfaat diester (8:2diPAP)</v>
      </c>
      <c r="C116" s="168"/>
      <c r="D116" s="192">
        <f>'Toepassen op waterbodem'!D116</f>
        <v>0</v>
      </c>
      <c r="E116" s="168" t="str">
        <f>'Toepassen op waterbodem'!E116</f>
        <v>µg/kg ds</v>
      </c>
      <c r="F116" s="168">
        <f>'Toepassen op waterbodem'!F116</f>
        <v>0.8</v>
      </c>
      <c r="G116" s="168" t="str">
        <f>'Toepassen op waterbodem'!G116</f>
        <v>toepasbaar</v>
      </c>
      <c r="H116" s="169"/>
    </row>
    <row r="117" spans="2:8" hidden="1" x14ac:dyDescent="0.25">
      <c r="B117" s="191" t="e">
        <f>'Toepassen op waterbodem'!B117</f>
        <v>#REF!</v>
      </c>
      <c r="C117" s="168"/>
      <c r="D117" s="192" t="e">
        <f>'Toepassen op waterbodem'!D117</f>
        <v>#REF!</v>
      </c>
      <c r="E117" s="168" t="e">
        <f>'Toepassen op waterbodem'!E117</f>
        <v>#REF!</v>
      </c>
      <c r="F117" s="168"/>
      <c r="G117" s="168"/>
      <c r="H117" s="169"/>
    </row>
    <row r="118" spans="2:8" hidden="1" x14ac:dyDescent="0.25">
      <c r="B118" s="191" t="e">
        <f>'Toepassen op waterbodem'!B118</f>
        <v>#REF!</v>
      </c>
      <c r="C118" s="168"/>
      <c r="D118" s="192" t="e">
        <f>'Toepassen op waterbodem'!D118</f>
        <v>#REF!</v>
      </c>
      <c r="E118" s="168" t="e">
        <f>'Toepassen op waterbodem'!E118</f>
        <v>#REF!</v>
      </c>
      <c r="F118" s="168"/>
      <c r="G118" s="168"/>
      <c r="H118" s="169"/>
    </row>
    <row r="119" spans="2:8" x14ac:dyDescent="0.25">
      <c r="B119" s="191" t="str">
        <f>'Toepassen op waterbodem'!B119</f>
        <v>Som Perfluoroctaanzuur (PFOA) (factor 0,7)</v>
      </c>
      <c r="C119" s="168"/>
      <c r="D119" s="192">
        <f>'Toepassen op waterbodem'!D119</f>
        <v>0</v>
      </c>
      <c r="E119" s="168" t="str">
        <f>'Toepassen op waterbodem'!E119</f>
        <v>µg/kg ds</v>
      </c>
      <c r="F119" s="168">
        <f>'Toepassen op waterbodem'!F119</f>
        <v>0.8</v>
      </c>
      <c r="G119" s="168" t="str">
        <f>'Toepassen op waterbodem'!G119</f>
        <v>toepasbaar</v>
      </c>
      <c r="H119" s="169"/>
    </row>
    <row r="120" spans="2:8" hidden="1" x14ac:dyDescent="0.25">
      <c r="B120" s="191" t="e">
        <f>'Toepassen op waterbodem'!B120</f>
        <v>#REF!</v>
      </c>
      <c r="C120" s="168"/>
      <c r="D120" s="192" t="e">
        <f>'Toepassen op waterbodem'!D120</f>
        <v>#REF!</v>
      </c>
      <c r="E120" s="168" t="e">
        <f>'Toepassen op waterbodem'!E120</f>
        <v>#REF!</v>
      </c>
      <c r="F120" s="168"/>
      <c r="G120" s="168"/>
      <c r="H120" s="169"/>
    </row>
    <row r="121" spans="2:8" hidden="1" x14ac:dyDescent="0.25">
      <c r="B121" s="191" t="e">
        <f>'Toepassen op waterbodem'!B121</f>
        <v>#REF!</v>
      </c>
      <c r="C121" s="168"/>
      <c r="D121" s="192" t="e">
        <f>'Toepassen op waterbodem'!D121</f>
        <v>#REF!</v>
      </c>
      <c r="E121" s="168" t="e">
        <f>'Toepassen op waterbodem'!E121</f>
        <v>#REF!</v>
      </c>
      <c r="F121" s="168"/>
      <c r="G121" s="168"/>
      <c r="H121" s="169"/>
    </row>
    <row r="122" spans="2:8" x14ac:dyDescent="0.25">
      <c r="B122" s="191" t="str">
        <f>'Toepassen op waterbodem'!B122</f>
        <v>Som Perfluoroctaansulfonzuur (PFOS) (factor 0,7)</v>
      </c>
      <c r="C122" s="168"/>
      <c r="D122" s="192">
        <f>'Toepassen op waterbodem'!D122</f>
        <v>0</v>
      </c>
      <c r="E122" s="168" t="str">
        <f>'Toepassen op waterbodem'!E122</f>
        <v>µg/kg ds</v>
      </c>
      <c r="F122" s="168">
        <f>'Toepassen op waterbodem'!F122</f>
        <v>3.7</v>
      </c>
      <c r="G122" s="168" t="str">
        <f>'Toepassen op waterbodem'!G122</f>
        <v>toepasbaar</v>
      </c>
      <c r="H122" s="169"/>
    </row>
    <row r="123" spans="2:8" x14ac:dyDescent="0.25">
      <c r="B123" s="191" t="str">
        <f>'Toepassen op waterbodem'!B123</f>
        <v>GenX - 2,3,3,3-Tetrafluor-2-(Heptafluorpropoxy)Pro</v>
      </c>
      <c r="C123" s="168"/>
      <c r="D123" s="192">
        <f>'Toepassen op waterbodem'!D123</f>
        <v>0</v>
      </c>
      <c r="E123" s="168" t="str">
        <f>'Toepassen op waterbodem'!E123</f>
        <v>µg/kg ds</v>
      </c>
      <c r="F123" s="168">
        <f>'Toepassen op waterbodem'!F123</f>
        <v>0.8</v>
      </c>
      <c r="G123" s="168" t="str">
        <f>'Toepassen op waterbodem'!G123</f>
        <v>toepasbaar</v>
      </c>
      <c r="H123" s="169"/>
    </row>
    <row r="124" spans="2:8" x14ac:dyDescent="0.25">
      <c r="B124" s="191"/>
      <c r="C124" s="168"/>
      <c r="D124" s="168"/>
      <c r="E124" s="168"/>
      <c r="F124" s="168"/>
      <c r="G124" s="168"/>
      <c r="H124" s="169"/>
    </row>
    <row r="125" spans="2:8" ht="13.8" thickBot="1" x14ac:dyDescent="0.3">
      <c r="B125" s="189" t="str">
        <f>'Toepassen op waterbodem'!B125</f>
        <v>Eindoordeel</v>
      </c>
      <c r="C125" s="193"/>
      <c r="D125" s="193"/>
      <c r="E125" s="193"/>
      <c r="F125" s="193"/>
      <c r="G125" s="184" t="str">
        <f>'Toepassen op waterbodem'!G125</f>
        <v>Wel toepasbaar</v>
      </c>
      <c r="H125" s="178"/>
    </row>
    <row r="126" spans="2:8" x14ac:dyDescent="0.25">
      <c r="B126" s="157"/>
      <c r="C126" s="168"/>
      <c r="D126" s="168"/>
      <c r="E126" s="168"/>
      <c r="F126" s="168"/>
      <c r="G126" s="168"/>
    </row>
  </sheetData>
  <sheetProtection algorithmName="SHA-512" hashValue="s1bd0a4yI1l4E/emhsA4GjKioB5gNT7rJ4HZoQ87/v8PfkmqAdK5XpiU0T/v6ZsK5hOQ7zgV3I16hnaVtPK9Wg==" saltValue="bt8aOtqc0k5LPZX3UYB8og==" spinCount="100000" sheet="1" selectLockedCells="1" selectUnlockedCells="1"/>
  <conditionalFormatting sqref="C7:C85">
    <cfRule type="cellIs" dxfId="4" priority="2" operator="equal">
      <formula>0</formula>
    </cfRule>
  </conditionalFormatting>
  <conditionalFormatting sqref="C87:C89 C127:C1048576">
    <cfRule type="cellIs" dxfId="3" priority="1" operator="equal">
      <formula>0</formula>
    </cfRule>
  </conditionalFormatting>
  <pageMargins left="0.7" right="0.7" top="0.75" bottom="0.75" header="0.3" footer="0.3"/>
  <pageSetup paperSize="9" scale="43" orientation="portrait" r:id="rId1"/>
  <colBreaks count="1" manualBreakCount="1">
    <brk id="8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96643-D334-43E2-A180-1C05F6DF7BE4}">
  <dimension ref="A1:AA126"/>
  <sheetViews>
    <sheetView showGridLines="0" view="pageBreakPreview" zoomScale="70" zoomScaleNormal="100" zoomScaleSheetLayoutView="70" workbookViewId="0">
      <selection activeCell="B1" sqref="B1"/>
    </sheetView>
  </sheetViews>
  <sheetFormatPr defaultRowHeight="13.2" x14ac:dyDescent="0.25"/>
  <cols>
    <col min="1" max="1" width="8.88671875" style="288"/>
    <col min="2" max="2" width="51.6640625" style="185" bestFit="1" customWidth="1"/>
    <col min="3" max="3" width="11.44140625" style="162" customWidth="1"/>
    <col min="4" max="4" width="18.44140625" style="162" customWidth="1"/>
    <col min="5" max="5" width="26.33203125" style="162" customWidth="1"/>
    <col min="6" max="6" width="16.5546875" style="162" bestFit="1" customWidth="1"/>
    <col min="7" max="7" width="16.5546875" style="162" customWidth="1"/>
    <col min="8" max="8" width="17" style="162" bestFit="1" customWidth="1"/>
    <col min="9" max="9" width="19.88671875" style="162" customWidth="1"/>
    <col min="10" max="10" width="17.88671875" style="288" hidden="1" customWidth="1"/>
    <col min="11" max="11" width="22.44140625" style="288" hidden="1" customWidth="1"/>
    <col min="12" max="12" width="16.88671875" style="288" hidden="1" customWidth="1"/>
    <col min="13" max="13" width="24.88671875" style="288" hidden="1" customWidth="1"/>
    <col min="14" max="14" width="0" style="288" hidden="1" customWidth="1"/>
    <col min="15" max="18" width="15.77734375" style="288" hidden="1" customWidth="1"/>
    <col min="19" max="19" width="14.33203125" style="288" hidden="1" customWidth="1"/>
    <col min="20" max="20" width="16" style="288" hidden="1" customWidth="1"/>
    <col min="21" max="22" width="19.44140625" style="288" hidden="1" customWidth="1"/>
    <col min="23" max="27" width="0" style="288" hidden="1" customWidth="1"/>
    <col min="28" max="28" width="0" style="162" hidden="1" customWidth="1"/>
    <col min="29" max="16384" width="8.88671875" style="162"/>
  </cols>
  <sheetData>
    <row r="1" spans="2:27" x14ac:dyDescent="0.25">
      <c r="B1" s="144" t="s">
        <v>325</v>
      </c>
      <c r="C1" s="308">
        <f>Invoertabblad!C2</f>
        <v>0</v>
      </c>
    </row>
    <row r="2" spans="2:27" x14ac:dyDescent="0.25">
      <c r="B2" s="144" t="str">
        <f>Invoertabblad!B3</f>
        <v>Rapportage kenmerk:</v>
      </c>
      <c r="C2" s="213">
        <f>Invoertabblad!C3</f>
        <v>0</v>
      </c>
    </row>
    <row r="3" spans="2:27" x14ac:dyDescent="0.25">
      <c r="B3" s="144" t="str">
        <f>Invoertabblad!B4</f>
        <v xml:space="preserve">Rapportage datum: </v>
      </c>
      <c r="C3" s="214">
        <f>Invoertabblad!C4</f>
        <v>0</v>
      </c>
    </row>
    <row r="4" spans="2:27" x14ac:dyDescent="0.25">
      <c r="B4" s="144" t="str">
        <f>Invoertabblad!B5</f>
        <v>Datum baggertoetsformulier:</v>
      </c>
      <c r="C4" s="214">
        <f ca="1">TODAY()</f>
        <v>46041</v>
      </c>
    </row>
    <row r="7" spans="2:27" ht="13.8" thickBot="1" x14ac:dyDescent="0.3">
      <c r="T7" s="282" t="s">
        <v>474</v>
      </c>
      <c r="U7" s="282" t="s">
        <v>475</v>
      </c>
      <c r="V7" s="282"/>
    </row>
    <row r="8" spans="2:27" ht="13.8" thickBot="1" x14ac:dyDescent="0.3">
      <c r="B8" s="186"/>
      <c r="C8" s="164"/>
      <c r="D8" s="164"/>
      <c r="E8" s="164"/>
      <c r="F8" s="364" t="s">
        <v>460</v>
      </c>
      <c r="G8" s="364"/>
      <c r="H8" s="364"/>
      <c r="I8" s="167"/>
      <c r="J8" s="305" t="s">
        <v>496</v>
      </c>
      <c r="K8" s="289"/>
      <c r="L8" s="289"/>
      <c r="M8" s="290"/>
      <c r="S8" s="291" t="s">
        <v>470</v>
      </c>
      <c r="T8" s="288" t="str" cm="1">
        <f t="array" ref="T8">_xlfn.IFS(T10&gt;0,"Niet toepasbaar","WAAR","Wel toepasbaar")</f>
        <v>Wel toepasbaar</v>
      </c>
      <c r="U8" s="288" t="str" cm="1">
        <f t="array" ref="U8">_xlfn.IFS(U10&gt;0,"Niet toepasbaar","WAAR","Wel toepasbaar")</f>
        <v>Wel toepasbaar</v>
      </c>
      <c r="W8" s="282" t="s">
        <v>467</v>
      </c>
      <c r="X8" s="292"/>
      <c r="Y8" s="292"/>
      <c r="Z8" s="292"/>
      <c r="AA8" s="292"/>
    </row>
    <row r="9" spans="2:27" ht="26.4" x14ac:dyDescent="0.25">
      <c r="B9" s="187" t="str">
        <f>standaardisering!B15</f>
        <v>Metalen</v>
      </c>
      <c r="C9" s="173" t="str">
        <f>standaardisering!C15</f>
        <v>rapportagegrens</v>
      </c>
      <c r="D9" s="173" t="str">
        <f>standaardisering!I15</f>
        <v>gestandaardiseerd gehalte</v>
      </c>
      <c r="E9" s="172" t="str">
        <f>standaardisering!K15</f>
        <v>Eenheid</v>
      </c>
      <c r="F9" s="172">
        <v>2</v>
      </c>
      <c r="G9" s="172">
        <v>3</v>
      </c>
      <c r="H9" s="172">
        <v>4</v>
      </c>
      <c r="I9" s="174" t="s">
        <v>483</v>
      </c>
      <c r="J9" s="298" t="s">
        <v>472</v>
      </c>
      <c r="K9" s="293" t="s">
        <v>471</v>
      </c>
      <c r="L9" s="293"/>
      <c r="M9" s="294" t="s">
        <v>466</v>
      </c>
      <c r="R9" s="291"/>
      <c r="S9" s="291" t="s">
        <v>485</v>
      </c>
      <c r="T9" s="286">
        <f>COUNTIF(I10:I85, "Toepasbaar")</f>
        <v>31</v>
      </c>
      <c r="U9" s="286">
        <f>COUNTIF(M10:M85, "Toepasbaar")</f>
        <v>47</v>
      </c>
      <c r="V9" s="286"/>
      <c r="W9" s="288">
        <v>6</v>
      </c>
      <c r="X9" s="288">
        <v>1</v>
      </c>
    </row>
    <row r="10" spans="2:27" x14ac:dyDescent="0.25">
      <c r="B10" s="188" t="str">
        <f>standaardisering!B16</f>
        <v>Arseen (As)</v>
      </c>
      <c r="C10" s="162">
        <f>standaardisering!C16</f>
        <v>0</v>
      </c>
      <c r="D10" s="170">
        <f>standaardisering!I16</f>
        <v>0</v>
      </c>
      <c r="E10" s="162" t="str">
        <f>standaardisering!K16</f>
        <v>mg/kg ds</v>
      </c>
      <c r="F10" s="162">
        <v>20</v>
      </c>
      <c r="G10" s="162">
        <v>29</v>
      </c>
      <c r="H10" s="162">
        <v>85</v>
      </c>
      <c r="I10" s="169" t="str">
        <f>IF(D10&gt;F10,"Niet toepasbaar","Toepasbaar")</f>
        <v>Toepasbaar</v>
      </c>
      <c r="J10" s="301">
        <v>27</v>
      </c>
      <c r="K10" s="288">
        <f>F10*2</f>
        <v>40</v>
      </c>
      <c r="L10" s="288">
        <f>SMALL(J10:K10,1)</f>
        <v>27</v>
      </c>
      <c r="M10" s="295" t="str">
        <f>IF(D10&gt;L10,"Niet toepasbaar","Toepasbaar")</f>
        <v>Toepasbaar</v>
      </c>
      <c r="S10" s="291" t="s">
        <v>486</v>
      </c>
      <c r="T10" s="286">
        <f>COUNTIF(I10:I85, "Niet toepasbaar")</f>
        <v>0</v>
      </c>
      <c r="U10" s="286">
        <f>COUNTIF(M10:M85, "Niet toepasbaar")</f>
        <v>0</v>
      </c>
      <c r="V10" s="286"/>
      <c r="W10" s="288">
        <v>15</v>
      </c>
      <c r="X10" s="288">
        <v>2</v>
      </c>
    </row>
    <row r="11" spans="2:27" x14ac:dyDescent="0.25">
      <c r="B11" s="188" t="str">
        <f>standaardisering!B17</f>
        <v>Barium (Ba)</v>
      </c>
      <c r="C11" s="162">
        <f>standaardisering!C17</f>
        <v>0</v>
      </c>
      <c r="D11" s="170">
        <f>standaardisering!I17</f>
        <v>0</v>
      </c>
      <c r="E11" s="162" t="str">
        <f>standaardisering!K17</f>
        <v>mg/kg ds</v>
      </c>
      <c r="I11" s="200" t="str">
        <f>IF(D11&gt;625,"check antropogene oorzaak barium"," ")</f>
        <v xml:space="preserve"> </v>
      </c>
      <c r="J11" s="301"/>
      <c r="M11" s="295"/>
      <c r="S11" s="291"/>
      <c r="T11" s="286"/>
      <c r="U11" s="286"/>
      <c r="V11" s="286"/>
      <c r="W11" s="288">
        <v>26</v>
      </c>
      <c r="X11" s="288">
        <v>3</v>
      </c>
    </row>
    <row r="12" spans="2:27" x14ac:dyDescent="0.25">
      <c r="B12" s="188" t="str">
        <f>standaardisering!B18</f>
        <v>Cadmium (Cd)</v>
      </c>
      <c r="C12" s="162">
        <f>standaardisering!C18</f>
        <v>0</v>
      </c>
      <c r="D12" s="175">
        <f>standaardisering!I18</f>
        <v>0</v>
      </c>
      <c r="E12" s="162" t="str">
        <f>standaardisering!K18</f>
        <v>mg/kg ds</v>
      </c>
      <c r="F12" s="162">
        <v>0.6</v>
      </c>
      <c r="G12" s="162">
        <v>4</v>
      </c>
      <c r="H12" s="162">
        <v>14</v>
      </c>
      <c r="I12" s="169" t="str">
        <f t="shared" ref="I12:I20" si="0">IF(D12&gt;F12,"Niet toepasbaar","Toepasbaar")</f>
        <v>Toepasbaar</v>
      </c>
      <c r="J12" s="301">
        <v>1.2</v>
      </c>
      <c r="K12" s="288">
        <f t="shared" ref="K12:K20" si="1">F12*2</f>
        <v>1.2</v>
      </c>
      <c r="L12" s="288">
        <f t="shared" ref="L12:L25" si="2">SMALL(J12:K12,1)</f>
        <v>1.2</v>
      </c>
      <c r="M12" s="295" t="str">
        <f t="shared" ref="M12:M20" si="3">IF(D12&gt;L12,"Niet toepasbaar","Toepasbaar")</f>
        <v>Toepasbaar</v>
      </c>
      <c r="S12" s="291"/>
      <c r="T12" s="286"/>
      <c r="U12" s="286"/>
      <c r="V12" s="286"/>
      <c r="W12" s="288">
        <v>36</v>
      </c>
      <c r="X12" s="288">
        <v>4</v>
      </c>
    </row>
    <row r="13" spans="2:27" x14ac:dyDescent="0.25">
      <c r="B13" s="188" t="str">
        <f>standaardisering!B19</f>
        <v>Kobalt (Co)</v>
      </c>
      <c r="C13" s="162">
        <f>standaardisering!C19</f>
        <v>0</v>
      </c>
      <c r="D13" s="170">
        <f>standaardisering!I19</f>
        <v>0</v>
      </c>
      <c r="E13" s="162" t="str">
        <f>standaardisering!K19</f>
        <v>mg/kg ds</v>
      </c>
      <c r="F13" s="162">
        <v>15</v>
      </c>
      <c r="G13" s="162">
        <v>25</v>
      </c>
      <c r="H13" s="162">
        <v>240</v>
      </c>
      <c r="I13" s="169" t="str">
        <f t="shared" si="0"/>
        <v>Toepasbaar</v>
      </c>
      <c r="J13" s="301">
        <v>35</v>
      </c>
      <c r="K13" s="288">
        <f t="shared" si="1"/>
        <v>30</v>
      </c>
      <c r="L13" s="288">
        <f t="shared" si="2"/>
        <v>30</v>
      </c>
      <c r="M13" s="295" t="str">
        <f t="shared" si="3"/>
        <v>Toepasbaar</v>
      </c>
      <c r="S13" s="291" t="s">
        <v>469</v>
      </c>
      <c r="T13" s="292">
        <f>SUM(T9:T12)</f>
        <v>31</v>
      </c>
      <c r="U13" s="292">
        <f>SUM(U9:U12)</f>
        <v>47</v>
      </c>
      <c r="V13" s="292"/>
      <c r="W13" s="282" t="s">
        <v>468</v>
      </c>
      <c r="X13" s="288">
        <v>5</v>
      </c>
    </row>
    <row r="14" spans="2:27" x14ac:dyDescent="0.25">
      <c r="B14" s="188" t="str">
        <f>standaardisering!B20</f>
        <v>Koper (Cu)</v>
      </c>
      <c r="C14" s="162">
        <f>standaardisering!C20</f>
        <v>0</v>
      </c>
      <c r="D14" s="170">
        <f>standaardisering!I20</f>
        <v>0</v>
      </c>
      <c r="E14" s="162" t="str">
        <f>standaardisering!K20</f>
        <v>mg/kg ds</v>
      </c>
      <c r="F14" s="162">
        <v>40</v>
      </c>
      <c r="G14" s="162">
        <v>96</v>
      </c>
      <c r="H14" s="162">
        <v>190</v>
      </c>
      <c r="I14" s="169" t="str">
        <f t="shared" si="0"/>
        <v>Toepasbaar</v>
      </c>
      <c r="J14" s="301">
        <v>54</v>
      </c>
      <c r="K14" s="288">
        <f t="shared" si="1"/>
        <v>80</v>
      </c>
      <c r="L14" s="288">
        <f t="shared" si="2"/>
        <v>54</v>
      </c>
      <c r="M14" s="295" t="str">
        <f t="shared" si="3"/>
        <v>Toepasbaar</v>
      </c>
      <c r="S14" s="291" t="s">
        <v>476</v>
      </c>
      <c r="T14" s="288" cm="1">
        <f t="array" ref="T14">_xlfn.IFS(T13&gt;36.9,5,T13&gt;26.9,4,T13&gt;15.9,3,T13&gt;6.9,2, T13&gt;1.9,1,TRUE,0)</f>
        <v>4</v>
      </c>
      <c r="U14" s="291"/>
      <c r="V14" s="291"/>
    </row>
    <row r="15" spans="2:27" x14ac:dyDescent="0.25">
      <c r="B15" s="188" t="str">
        <f>standaardisering!B21</f>
        <v>Kwik (Hg)</v>
      </c>
      <c r="C15" s="162">
        <f>standaardisering!C21</f>
        <v>0</v>
      </c>
      <c r="D15" s="170">
        <f>standaardisering!I21</f>
        <v>0</v>
      </c>
      <c r="E15" s="162" t="str">
        <f>standaardisering!K21</f>
        <v>mg/kg ds</v>
      </c>
      <c r="F15" s="162">
        <v>0.15</v>
      </c>
      <c r="G15" s="162">
        <v>1.2</v>
      </c>
      <c r="H15" s="162">
        <v>10</v>
      </c>
      <c r="I15" s="169" t="str">
        <f t="shared" si="0"/>
        <v>Toepasbaar</v>
      </c>
      <c r="J15" s="301">
        <v>0.83</v>
      </c>
      <c r="K15" s="288">
        <f t="shared" si="1"/>
        <v>0.3</v>
      </c>
      <c r="L15" s="288">
        <f t="shared" si="2"/>
        <v>0.3</v>
      </c>
      <c r="M15" s="295" t="str">
        <f t="shared" si="3"/>
        <v>Toepasbaar</v>
      </c>
    </row>
    <row r="16" spans="2:27" x14ac:dyDescent="0.25">
      <c r="B16" s="188" t="str">
        <f>standaardisering!B22</f>
        <v>Lood (Pb)</v>
      </c>
      <c r="C16" s="162">
        <f>standaardisering!C22</f>
        <v>0</v>
      </c>
      <c r="D16" s="170">
        <f>standaardisering!I22</f>
        <v>0</v>
      </c>
      <c r="E16" s="162" t="str">
        <f>standaardisering!K22</f>
        <v>mg/kg ds</v>
      </c>
      <c r="F16" s="162">
        <v>50</v>
      </c>
      <c r="G16" s="162">
        <v>138</v>
      </c>
      <c r="H16" s="162">
        <v>580</v>
      </c>
      <c r="I16" s="169" t="str">
        <f t="shared" si="0"/>
        <v>Toepasbaar</v>
      </c>
      <c r="J16" s="301">
        <v>210</v>
      </c>
      <c r="K16" s="288">
        <f t="shared" si="1"/>
        <v>100</v>
      </c>
      <c r="L16" s="288">
        <f t="shared" si="2"/>
        <v>100</v>
      </c>
      <c r="M16" s="295" t="str">
        <f t="shared" si="3"/>
        <v>Toepasbaar</v>
      </c>
      <c r="S16" s="288" t="str" cm="1">
        <f t="array" ref="S16">_xlfn.IFS(T14&gt;T10,U8,T14&lt;T10,T8,T14=T10,U8)</f>
        <v>Wel toepasbaar</v>
      </c>
    </row>
    <row r="17" spans="2:22" x14ac:dyDescent="0.25">
      <c r="B17" s="188" t="str">
        <f>standaardisering!B23</f>
        <v>Molybdeen (Mo)</v>
      </c>
      <c r="C17" s="162">
        <f>standaardisering!C23</f>
        <v>0</v>
      </c>
      <c r="D17" s="179">
        <f>standaardisering!I23</f>
        <v>0</v>
      </c>
      <c r="E17" s="162" t="str">
        <f>standaardisering!K23</f>
        <v>mg/kg ds</v>
      </c>
      <c r="F17" s="162">
        <v>1.5</v>
      </c>
      <c r="G17" s="162">
        <v>5</v>
      </c>
      <c r="H17" s="162">
        <v>200</v>
      </c>
      <c r="I17" s="169" t="str">
        <f t="shared" si="0"/>
        <v>Toepasbaar</v>
      </c>
      <c r="J17" s="301">
        <v>88</v>
      </c>
      <c r="K17" s="288">
        <f t="shared" si="1"/>
        <v>3</v>
      </c>
      <c r="L17" s="288">
        <f t="shared" si="2"/>
        <v>3</v>
      </c>
      <c r="M17" s="295" t="str">
        <f t="shared" si="3"/>
        <v>Toepasbaar</v>
      </c>
      <c r="S17" s="282"/>
    </row>
    <row r="18" spans="2:22" x14ac:dyDescent="0.25">
      <c r="B18" s="188" t="str">
        <f>standaardisering!B24</f>
        <v>Nikkel (Ni)</v>
      </c>
      <c r="C18" s="162">
        <f>standaardisering!C24</f>
        <v>0</v>
      </c>
      <c r="D18" s="170">
        <f>standaardisering!I24</f>
        <v>0</v>
      </c>
      <c r="E18" s="162" t="str">
        <f>standaardisering!K24</f>
        <v>mg/kg ds</v>
      </c>
      <c r="F18" s="162">
        <v>35</v>
      </c>
      <c r="G18" s="162">
        <v>50</v>
      </c>
      <c r="H18" s="162">
        <v>210</v>
      </c>
      <c r="I18" s="169" t="str">
        <f t="shared" si="0"/>
        <v>Toepasbaar</v>
      </c>
      <c r="J18" s="301"/>
      <c r="K18" s="288">
        <f t="shared" si="1"/>
        <v>70</v>
      </c>
      <c r="L18" s="288">
        <f t="shared" si="2"/>
        <v>70</v>
      </c>
      <c r="M18" s="295" t="str">
        <f t="shared" si="3"/>
        <v>Toepasbaar</v>
      </c>
      <c r="S18" s="282"/>
    </row>
    <row r="19" spans="2:22" x14ac:dyDescent="0.25">
      <c r="B19" s="188" t="str">
        <f>standaardisering!B25</f>
        <v>Zink (Zn)</v>
      </c>
      <c r="C19" s="162">
        <f>standaardisering!C25</f>
        <v>0</v>
      </c>
      <c r="D19" s="170">
        <f>standaardisering!I25</f>
        <v>0</v>
      </c>
      <c r="E19" s="162" t="str">
        <f>standaardisering!K25</f>
        <v>mg/kg ds</v>
      </c>
      <c r="F19" s="162">
        <v>140</v>
      </c>
      <c r="G19" s="162">
        <v>563</v>
      </c>
      <c r="H19" s="162">
        <v>2000</v>
      </c>
      <c r="I19" s="169" t="str">
        <f t="shared" si="0"/>
        <v>Toepasbaar</v>
      </c>
      <c r="J19" s="301">
        <v>200</v>
      </c>
      <c r="K19" s="288">
        <f t="shared" si="1"/>
        <v>280</v>
      </c>
      <c r="L19" s="288">
        <f t="shared" si="2"/>
        <v>200</v>
      </c>
      <c r="M19" s="295" t="str">
        <f t="shared" si="3"/>
        <v>Toepasbaar</v>
      </c>
      <c r="T19" s="282"/>
    </row>
    <row r="20" spans="2:22" x14ac:dyDescent="0.25">
      <c r="B20" s="188" t="str">
        <f>standaardisering!B26</f>
        <v>Chroom (Cr)</v>
      </c>
      <c r="C20" s="162">
        <f>standaardisering!C26</f>
        <v>0</v>
      </c>
      <c r="D20" s="170">
        <f>standaardisering!I26</f>
        <v>0</v>
      </c>
      <c r="E20" s="162" t="str">
        <f>standaardisering!K26</f>
        <v>mg/kg ds</v>
      </c>
      <c r="F20" s="162">
        <v>55</v>
      </c>
      <c r="G20" s="162">
        <v>120</v>
      </c>
      <c r="H20" s="162">
        <v>380</v>
      </c>
      <c r="I20" s="169" t="str">
        <f t="shared" si="0"/>
        <v>Toepasbaar</v>
      </c>
      <c r="J20" s="301">
        <v>62</v>
      </c>
      <c r="K20" s="288">
        <f t="shared" si="1"/>
        <v>110</v>
      </c>
      <c r="L20" s="288">
        <f t="shared" si="2"/>
        <v>62</v>
      </c>
      <c r="M20" s="295" t="str">
        <f t="shared" si="3"/>
        <v>Toepasbaar</v>
      </c>
    </row>
    <row r="21" spans="2:22" x14ac:dyDescent="0.25">
      <c r="B21" s="188"/>
      <c r="I21" s="169"/>
      <c r="J21" s="301"/>
      <c r="M21" s="295"/>
      <c r="T21" s="282"/>
      <c r="U21" s="282"/>
      <c r="V21" s="282"/>
    </row>
    <row r="22" spans="2:22" x14ac:dyDescent="0.25">
      <c r="B22" s="187" t="str">
        <f>standaardisering!B28</f>
        <v>Overige anorganische stoffen</v>
      </c>
      <c r="C22" s="162">
        <f>standaardisering!C28</f>
        <v>0</v>
      </c>
      <c r="I22" s="169"/>
      <c r="J22" s="301"/>
      <c r="M22" s="295"/>
    </row>
    <row r="23" spans="2:22" x14ac:dyDescent="0.25">
      <c r="B23" s="188" t="str">
        <f>standaardisering!B29</f>
        <v>cyanide (vrij)</v>
      </c>
      <c r="C23" s="162">
        <f>standaardisering!C29</f>
        <v>0</v>
      </c>
      <c r="D23" s="162">
        <f>standaardisering!I29</f>
        <v>0</v>
      </c>
      <c r="E23" s="162" t="str">
        <f>standaardisering!K29</f>
        <v>mg/kg ds</v>
      </c>
      <c r="F23" s="162">
        <v>3</v>
      </c>
      <c r="H23" s="162">
        <v>20</v>
      </c>
      <c r="I23" s="169" t="str">
        <f>IF(D23&gt;F23,"Niet toepasbaar","Toepasbaar")</f>
        <v>Toepasbaar</v>
      </c>
      <c r="J23" s="301">
        <v>3</v>
      </c>
      <c r="K23" s="288">
        <f t="shared" ref="K23:K25" si="4">F23*2</f>
        <v>6</v>
      </c>
      <c r="L23" s="288">
        <f t="shared" si="2"/>
        <v>3</v>
      </c>
      <c r="M23" s="295" t="str">
        <f t="shared" ref="M23:M25" si="5">IF(D23&gt;L23,"Niet toepasbaar","Toepasbaar")</f>
        <v>Toepasbaar</v>
      </c>
    </row>
    <row r="24" spans="2:22" x14ac:dyDescent="0.25">
      <c r="B24" s="188" t="str">
        <f>standaardisering!B30</f>
        <v>cyanide (complex)</v>
      </c>
      <c r="C24" s="162">
        <f>standaardisering!C30</f>
        <v>0</v>
      </c>
      <c r="D24" s="162">
        <f>standaardisering!I30</f>
        <v>0</v>
      </c>
      <c r="E24" s="162" t="str">
        <f>standaardisering!K30</f>
        <v>mg/kg ds</v>
      </c>
      <c r="F24" s="162">
        <v>5.5</v>
      </c>
      <c r="H24" s="162">
        <v>50</v>
      </c>
      <c r="I24" s="169" t="str">
        <f>IF(D24&gt;F24,"Niet toepasbaar","Toepasbaar")</f>
        <v>Toepasbaar</v>
      </c>
      <c r="J24" s="301">
        <v>5.5</v>
      </c>
      <c r="K24" s="288">
        <f t="shared" si="4"/>
        <v>11</v>
      </c>
      <c r="L24" s="288">
        <f t="shared" si="2"/>
        <v>5.5</v>
      </c>
      <c r="M24" s="295" t="str">
        <f t="shared" si="5"/>
        <v>Toepasbaar</v>
      </c>
    </row>
    <row r="25" spans="2:22" x14ac:dyDescent="0.25">
      <c r="B25" s="188" t="str">
        <f>standaardisering!B31</f>
        <v>Thiocyanaten</v>
      </c>
      <c r="C25" s="162">
        <f>standaardisering!C31</f>
        <v>0</v>
      </c>
      <c r="D25" s="162">
        <f>standaardisering!I31</f>
        <v>0</v>
      </c>
      <c r="E25" s="162" t="str">
        <f>standaardisering!K31</f>
        <v>mg/kg ds</v>
      </c>
      <c r="F25" s="162">
        <v>6</v>
      </c>
      <c r="H25" s="162">
        <v>20</v>
      </c>
      <c r="I25" s="169" t="str">
        <f>IF(D25&gt;F25,"Niet toepasbaar","Toepasbaar")</f>
        <v>Toepasbaar</v>
      </c>
      <c r="J25" s="301">
        <v>6</v>
      </c>
      <c r="K25" s="288">
        <f t="shared" si="4"/>
        <v>12</v>
      </c>
      <c r="L25" s="288">
        <f t="shared" si="2"/>
        <v>6</v>
      </c>
      <c r="M25" s="295" t="str">
        <f t="shared" si="5"/>
        <v>Toepasbaar</v>
      </c>
    </row>
    <row r="26" spans="2:22" x14ac:dyDescent="0.25">
      <c r="B26" s="188"/>
      <c r="I26" s="169"/>
      <c r="J26" s="301"/>
      <c r="M26" s="295"/>
    </row>
    <row r="27" spans="2:22" x14ac:dyDescent="0.25">
      <c r="B27" s="187" t="str">
        <f>standaardisering!B33</f>
        <v>Asbest</v>
      </c>
      <c r="C27" s="162">
        <f>standaardisering!C33</f>
        <v>0</v>
      </c>
      <c r="D27" s="162">
        <f>standaardisering!I33</f>
        <v>0</v>
      </c>
      <c r="E27" s="162" t="str">
        <f>standaardisering!K33</f>
        <v>mg/kg ds</v>
      </c>
      <c r="F27" s="162">
        <v>100</v>
      </c>
      <c r="H27" s="162">
        <v>100</v>
      </c>
      <c r="I27" s="169"/>
      <c r="J27" s="301"/>
      <c r="M27" s="295"/>
    </row>
    <row r="28" spans="2:22" x14ac:dyDescent="0.25">
      <c r="B28" s="188"/>
      <c r="I28" s="169"/>
      <c r="J28" s="301"/>
      <c r="M28" s="295"/>
    </row>
    <row r="29" spans="2:22" x14ac:dyDescent="0.25">
      <c r="B29" s="187" t="str">
        <f>standaardisering!B35</f>
        <v>PAK10</v>
      </c>
      <c r="C29" s="162">
        <f>standaardisering!C35</f>
        <v>0</v>
      </c>
      <c r="I29" s="169"/>
      <c r="J29" s="301"/>
      <c r="M29" s="295"/>
    </row>
    <row r="30" spans="2:22" x14ac:dyDescent="0.25">
      <c r="B30" s="188" t="str">
        <f>standaardisering!B36</f>
        <v>Naftaleen</v>
      </c>
      <c r="C30" s="162">
        <f>standaardisering!C36</f>
        <v>0</v>
      </c>
      <c r="D30" s="170">
        <f>standaardisering!J36</f>
        <v>0</v>
      </c>
      <c r="E30" s="162" t="str">
        <f>standaardisering!K36</f>
        <v>mg/kg ds</v>
      </c>
      <c r="I30" s="169"/>
      <c r="J30" s="301"/>
      <c r="M30" s="295"/>
    </row>
    <row r="31" spans="2:22" x14ac:dyDescent="0.25">
      <c r="B31" s="188" t="str">
        <f>standaardisering!B37</f>
        <v>Antraceen</v>
      </c>
      <c r="C31" s="162">
        <f>standaardisering!C37</f>
        <v>0</v>
      </c>
      <c r="D31" s="170">
        <f>standaardisering!J37</f>
        <v>0</v>
      </c>
      <c r="E31" s="162" t="str">
        <f>standaardisering!K37</f>
        <v>mg/kg ds</v>
      </c>
      <c r="I31" s="169"/>
      <c r="J31" s="301"/>
      <c r="M31" s="295"/>
    </row>
    <row r="32" spans="2:22" x14ac:dyDescent="0.25">
      <c r="B32" s="188" t="str">
        <f>standaardisering!B38</f>
        <v>Fenantreen</v>
      </c>
      <c r="C32" s="162">
        <f>standaardisering!C38</f>
        <v>0</v>
      </c>
      <c r="D32" s="170">
        <f>standaardisering!J38</f>
        <v>0</v>
      </c>
      <c r="E32" s="162" t="str">
        <f>standaardisering!K38</f>
        <v>mg/kg ds</v>
      </c>
      <c r="I32" s="169"/>
      <c r="J32" s="301"/>
      <c r="M32" s="295"/>
    </row>
    <row r="33" spans="2:13" x14ac:dyDescent="0.25">
      <c r="B33" s="188" t="str">
        <f>standaardisering!B39</f>
        <v>Fluoranteen</v>
      </c>
      <c r="C33" s="162">
        <f>standaardisering!C39</f>
        <v>0</v>
      </c>
      <c r="D33" s="170">
        <f>standaardisering!J39</f>
        <v>0</v>
      </c>
      <c r="E33" s="162" t="str">
        <f>standaardisering!K39</f>
        <v>mg/kg ds</v>
      </c>
      <c r="I33" s="169"/>
      <c r="J33" s="301"/>
      <c r="M33" s="295"/>
    </row>
    <row r="34" spans="2:13" x14ac:dyDescent="0.25">
      <c r="B34" s="188" t="str">
        <f>standaardisering!B40</f>
        <v>Benzo(a)anthraceen</v>
      </c>
      <c r="C34" s="162">
        <f>standaardisering!C40</f>
        <v>0</v>
      </c>
      <c r="D34" s="170">
        <f>standaardisering!J40</f>
        <v>0</v>
      </c>
      <c r="E34" s="162" t="str">
        <f>standaardisering!K40</f>
        <v>mg/kg ds</v>
      </c>
      <c r="I34" s="169"/>
      <c r="J34" s="301"/>
      <c r="M34" s="295"/>
    </row>
    <row r="35" spans="2:13" x14ac:dyDescent="0.25">
      <c r="B35" s="188" t="str">
        <f>standaardisering!B41</f>
        <v>Chryseen</v>
      </c>
      <c r="C35" s="162">
        <f>standaardisering!C41</f>
        <v>0</v>
      </c>
      <c r="D35" s="170">
        <f>standaardisering!J41</f>
        <v>0</v>
      </c>
      <c r="E35" s="162" t="str">
        <f>standaardisering!K41</f>
        <v>mg/kg ds</v>
      </c>
      <c r="I35" s="169"/>
      <c r="J35" s="301"/>
      <c r="M35" s="295"/>
    </row>
    <row r="36" spans="2:13" x14ac:dyDescent="0.25">
      <c r="B36" s="188" t="str">
        <f>standaardisering!B42</f>
        <v>Benzo(k)fluorantheen</v>
      </c>
      <c r="C36" s="162">
        <f>standaardisering!C42</f>
        <v>0</v>
      </c>
      <c r="D36" s="170">
        <f>standaardisering!J42</f>
        <v>0</v>
      </c>
      <c r="E36" s="162" t="str">
        <f>standaardisering!K42</f>
        <v>mg/kg ds</v>
      </c>
      <c r="I36" s="169"/>
      <c r="J36" s="301"/>
      <c r="M36" s="295"/>
    </row>
    <row r="37" spans="2:13" x14ac:dyDescent="0.25">
      <c r="B37" s="188" t="str">
        <f>standaardisering!B43</f>
        <v>Benzo(a)pyreen</v>
      </c>
      <c r="C37" s="162">
        <f>standaardisering!C43</f>
        <v>0</v>
      </c>
      <c r="D37" s="170">
        <f>standaardisering!J43</f>
        <v>0</v>
      </c>
      <c r="E37" s="162" t="str">
        <f>standaardisering!K43</f>
        <v>mg/kg ds</v>
      </c>
      <c r="I37" s="169"/>
      <c r="J37" s="301"/>
      <c r="M37" s="295"/>
    </row>
    <row r="38" spans="2:13" x14ac:dyDescent="0.25">
      <c r="B38" s="188" t="str">
        <f>standaardisering!B44</f>
        <v>Benzo(ghi)peryleen</v>
      </c>
      <c r="C38" s="162">
        <f>standaardisering!C44</f>
        <v>0</v>
      </c>
      <c r="D38" s="170">
        <f>standaardisering!J44</f>
        <v>0</v>
      </c>
      <c r="E38" s="162" t="str">
        <f>standaardisering!K44</f>
        <v>mg/kg ds</v>
      </c>
      <c r="I38" s="169"/>
      <c r="J38" s="301"/>
      <c r="M38" s="295"/>
    </row>
    <row r="39" spans="2:13" x14ac:dyDescent="0.25">
      <c r="B39" s="188" t="str">
        <f>standaardisering!B45</f>
        <v>Indeen(1,2,3-cd)pyreen</v>
      </c>
      <c r="C39" s="162">
        <f>standaardisering!C45</f>
        <v>0</v>
      </c>
      <c r="D39" s="170">
        <f>standaardisering!J45</f>
        <v>0</v>
      </c>
      <c r="E39" s="162" t="str">
        <f>standaardisering!K45</f>
        <v>mg/kg ds</v>
      </c>
      <c r="I39" s="169"/>
      <c r="J39" s="301"/>
      <c r="M39" s="295"/>
    </row>
    <row r="40" spans="2:13" x14ac:dyDescent="0.25">
      <c r="B40" s="188" t="str">
        <f>standaardisering!B46</f>
        <v>PAK (10 som)</v>
      </c>
      <c r="C40" s="162">
        <f>standaardisering!C46</f>
        <v>0</v>
      </c>
      <c r="D40" s="170">
        <f>standaardisering!J46</f>
        <v>0</v>
      </c>
      <c r="E40" s="162" t="str">
        <f>standaardisering!K46</f>
        <v>mg/kg ds</v>
      </c>
      <c r="F40" s="162">
        <v>1.5</v>
      </c>
      <c r="G40" s="162">
        <v>9</v>
      </c>
      <c r="H40" s="162">
        <v>40</v>
      </c>
      <c r="I40" s="169" t="str">
        <f t="shared" ref="I40" si="6">IF(D40&gt;F40,"Niet toepasbaar","Toepasbaar")</f>
        <v>Toepasbaar</v>
      </c>
      <c r="J40" s="301">
        <v>6.8</v>
      </c>
      <c r="K40" s="288">
        <f>F40*2</f>
        <v>3</v>
      </c>
      <c r="L40" s="288">
        <f t="shared" ref="L40:L85" si="7">SMALL(J40:K40,1)</f>
        <v>3</v>
      </c>
      <c r="M40" s="295" t="str">
        <f>IF(D40&gt;L40,"Niet toepasbaar","Toepasbaar")</f>
        <v>Toepasbaar</v>
      </c>
    </row>
    <row r="41" spans="2:13" x14ac:dyDescent="0.25">
      <c r="B41" s="188"/>
      <c r="I41" s="169"/>
      <c r="J41" s="301"/>
      <c r="M41" s="295"/>
    </row>
    <row r="42" spans="2:13" x14ac:dyDescent="0.25">
      <c r="B42" s="187" t="str">
        <f>standaardisering!B48</f>
        <v>Minerale olie</v>
      </c>
      <c r="C42" s="162">
        <f>standaardisering!C48</f>
        <v>0</v>
      </c>
      <c r="D42" s="170">
        <f>standaardisering!I48</f>
        <v>0</v>
      </c>
      <c r="E42" s="162" t="str">
        <f>standaardisering!K48</f>
        <v>mg/kg ds</v>
      </c>
      <c r="F42" s="162">
        <v>190</v>
      </c>
      <c r="G42" s="162">
        <v>1250</v>
      </c>
      <c r="H42" s="162">
        <v>5000</v>
      </c>
      <c r="I42" s="169" t="str">
        <f t="shared" ref="I42" si="8">IF(D42&gt;F42,"Niet toepasbaar","Toepasbaar")</f>
        <v>Toepasbaar</v>
      </c>
      <c r="J42" s="301">
        <v>190</v>
      </c>
      <c r="K42" s="288">
        <f>F42*2</f>
        <v>380</v>
      </c>
      <c r="L42" s="288">
        <f t="shared" si="7"/>
        <v>190</v>
      </c>
      <c r="M42" s="295" t="str">
        <f>IF(D42&gt;L42,"Niet toepasbaar","Toepasbaar")</f>
        <v>Toepasbaar</v>
      </c>
    </row>
    <row r="43" spans="2:13" x14ac:dyDescent="0.25">
      <c r="B43" s="188"/>
      <c r="I43" s="169"/>
      <c r="J43" s="301"/>
      <c r="M43" s="295"/>
    </row>
    <row r="44" spans="2:13" x14ac:dyDescent="0.25">
      <c r="B44" s="187" t="str">
        <f>standaardisering!B50</f>
        <v>Gechloreerde koolwaterstoffen</v>
      </c>
      <c r="C44" s="162">
        <f>standaardisering!C50</f>
        <v>0</v>
      </c>
      <c r="I44" s="169"/>
      <c r="J44" s="301"/>
      <c r="M44" s="295"/>
    </row>
    <row r="45" spans="2:13" x14ac:dyDescent="0.25">
      <c r="B45" s="188" t="str">
        <f>standaardisering!B51</f>
        <v>PCB28</v>
      </c>
      <c r="C45" s="162">
        <f>standaardisering!C51</f>
        <v>0</v>
      </c>
      <c r="D45" s="181">
        <f>standaardisering!I51</f>
        <v>0</v>
      </c>
      <c r="E45" s="162" t="str">
        <f>standaardisering!K51</f>
        <v>mg/kg ds</v>
      </c>
      <c r="F45" s="162">
        <v>1.5E-3</v>
      </c>
      <c r="G45" s="162">
        <v>1.4E-2</v>
      </c>
      <c r="I45" s="169"/>
      <c r="J45" s="301"/>
      <c r="K45" s="288">
        <f t="shared" ref="K45:K58" si="9">F45*2</f>
        <v>3.0000000000000001E-3</v>
      </c>
      <c r="L45" s="288">
        <f t="shared" si="7"/>
        <v>3.0000000000000001E-3</v>
      </c>
      <c r="M45" s="295" t="str">
        <f t="shared" ref="M45:M57" si="10">IF(D45&gt;L45,"Niet toepasbaar","Toepasbaar")</f>
        <v>Toepasbaar</v>
      </c>
    </row>
    <row r="46" spans="2:13" x14ac:dyDescent="0.25">
      <c r="B46" s="188" t="str">
        <f>standaardisering!B52</f>
        <v>PCB52</v>
      </c>
      <c r="C46" s="162">
        <f>standaardisering!C52</f>
        <v>0</v>
      </c>
      <c r="D46" s="181">
        <f>standaardisering!I52</f>
        <v>0</v>
      </c>
      <c r="E46" s="162" t="str">
        <f>standaardisering!K52</f>
        <v>mg/kg ds</v>
      </c>
      <c r="F46" s="162">
        <v>2E-3</v>
      </c>
      <c r="G46" s="162">
        <v>1.4999999999999999E-2</v>
      </c>
      <c r="I46" s="169"/>
      <c r="J46" s="301"/>
      <c r="K46" s="288">
        <f t="shared" si="9"/>
        <v>4.0000000000000001E-3</v>
      </c>
      <c r="L46" s="288">
        <f t="shared" si="7"/>
        <v>4.0000000000000001E-3</v>
      </c>
      <c r="M46" s="295" t="str">
        <f t="shared" si="10"/>
        <v>Toepasbaar</v>
      </c>
    </row>
    <row r="47" spans="2:13" x14ac:dyDescent="0.25">
      <c r="B47" s="188" t="str">
        <f>standaardisering!B53</f>
        <v>PCB101</v>
      </c>
      <c r="C47" s="162">
        <f>standaardisering!C53</f>
        <v>0</v>
      </c>
      <c r="D47" s="181">
        <f>standaardisering!I53</f>
        <v>0</v>
      </c>
      <c r="E47" s="162" t="str">
        <f>standaardisering!K53</f>
        <v>mg/kg ds</v>
      </c>
      <c r="F47" s="162">
        <v>1.5E-3</v>
      </c>
      <c r="G47" s="162">
        <v>2.3E-2</v>
      </c>
      <c r="I47" s="169"/>
      <c r="J47" s="301"/>
      <c r="K47" s="288">
        <f t="shared" si="9"/>
        <v>3.0000000000000001E-3</v>
      </c>
      <c r="L47" s="288">
        <f t="shared" si="7"/>
        <v>3.0000000000000001E-3</v>
      </c>
      <c r="M47" s="295" t="str">
        <f t="shared" si="10"/>
        <v>Toepasbaar</v>
      </c>
    </row>
    <row r="48" spans="2:13" x14ac:dyDescent="0.25">
      <c r="B48" s="188" t="str">
        <f>standaardisering!B54</f>
        <v>PCB118</v>
      </c>
      <c r="C48" s="162">
        <f>standaardisering!C54</f>
        <v>0</v>
      </c>
      <c r="D48" s="181">
        <f>standaardisering!I54</f>
        <v>0</v>
      </c>
      <c r="E48" s="162" t="str">
        <f>standaardisering!K54</f>
        <v>mg/kg ds</v>
      </c>
      <c r="F48" s="162">
        <v>4.4999999999999997E-3</v>
      </c>
      <c r="G48" s="162">
        <v>1.6E-2</v>
      </c>
      <c r="I48" s="169"/>
      <c r="J48" s="301"/>
      <c r="K48" s="288">
        <f t="shared" si="9"/>
        <v>8.9999999999999993E-3</v>
      </c>
      <c r="L48" s="288">
        <f t="shared" si="7"/>
        <v>8.9999999999999993E-3</v>
      </c>
      <c r="M48" s="295" t="str">
        <f t="shared" si="10"/>
        <v>Toepasbaar</v>
      </c>
    </row>
    <row r="49" spans="2:13" x14ac:dyDescent="0.25">
      <c r="B49" s="188" t="str">
        <f>standaardisering!B55</f>
        <v>PCB138</v>
      </c>
      <c r="C49" s="162">
        <f>standaardisering!C55</f>
        <v>0</v>
      </c>
      <c r="D49" s="181">
        <f>standaardisering!I55</f>
        <v>0</v>
      </c>
      <c r="E49" s="162" t="str">
        <f>standaardisering!K55</f>
        <v>mg/kg ds</v>
      </c>
      <c r="F49" s="162">
        <v>4.0000000000000001E-3</v>
      </c>
      <c r="G49" s="162">
        <v>2.7E-2</v>
      </c>
      <c r="I49" s="169"/>
      <c r="J49" s="301"/>
      <c r="K49" s="288">
        <f t="shared" si="9"/>
        <v>8.0000000000000002E-3</v>
      </c>
      <c r="L49" s="288">
        <f t="shared" si="7"/>
        <v>8.0000000000000002E-3</v>
      </c>
      <c r="M49" s="295" t="str">
        <f t="shared" si="10"/>
        <v>Toepasbaar</v>
      </c>
    </row>
    <row r="50" spans="2:13" x14ac:dyDescent="0.25">
      <c r="B50" s="188" t="str">
        <f>standaardisering!B56</f>
        <v>PCB153</v>
      </c>
      <c r="C50" s="162">
        <f>standaardisering!C56</f>
        <v>0</v>
      </c>
      <c r="D50" s="181">
        <f>standaardisering!I56</f>
        <v>0</v>
      </c>
      <c r="E50" s="162" t="str">
        <f>standaardisering!K56</f>
        <v>mg/kg ds</v>
      </c>
      <c r="F50" s="162">
        <v>3.5000000000000001E-3</v>
      </c>
      <c r="G50" s="162">
        <v>3.3000000000000002E-2</v>
      </c>
      <c r="I50" s="169"/>
      <c r="J50" s="301"/>
      <c r="K50" s="288">
        <f t="shared" si="9"/>
        <v>7.0000000000000001E-3</v>
      </c>
      <c r="L50" s="288">
        <f t="shared" si="7"/>
        <v>7.0000000000000001E-3</v>
      </c>
      <c r="M50" s="295" t="str">
        <f t="shared" si="10"/>
        <v>Toepasbaar</v>
      </c>
    </row>
    <row r="51" spans="2:13" x14ac:dyDescent="0.25">
      <c r="B51" s="188" t="str">
        <f>standaardisering!B57</f>
        <v>PCB180</v>
      </c>
      <c r="C51" s="162">
        <f>standaardisering!C57</f>
        <v>0</v>
      </c>
      <c r="D51" s="181">
        <f>standaardisering!I57</f>
        <v>0</v>
      </c>
      <c r="E51" s="162" t="str">
        <f>standaardisering!K57</f>
        <v>mg/kg ds</v>
      </c>
      <c r="F51" s="162">
        <v>2.5000000000000001E-3</v>
      </c>
      <c r="G51" s="162">
        <v>1.7999999999999999E-2</v>
      </c>
      <c r="I51" s="169"/>
      <c r="J51" s="301"/>
      <c r="K51" s="288">
        <f t="shared" si="9"/>
        <v>5.0000000000000001E-3</v>
      </c>
      <c r="L51" s="288">
        <f t="shared" si="7"/>
        <v>5.0000000000000001E-3</v>
      </c>
      <c r="M51" s="295" t="str">
        <f t="shared" si="10"/>
        <v>Toepasbaar</v>
      </c>
    </row>
    <row r="52" spans="2:13" x14ac:dyDescent="0.25">
      <c r="B52" s="188" t="str">
        <f>standaardisering!B58</f>
        <v>PCBs (som 7)</v>
      </c>
      <c r="C52" s="162">
        <f>standaardisering!C58</f>
        <v>0</v>
      </c>
      <c r="D52" s="162">
        <f>standaardisering!I58</f>
        <v>0</v>
      </c>
      <c r="E52" s="162" t="str">
        <f>standaardisering!K58</f>
        <v>mg/kg ds</v>
      </c>
      <c r="F52" s="162">
        <v>0.2</v>
      </c>
      <c r="G52" s="162">
        <v>0.13900000000000001</v>
      </c>
      <c r="H52" s="162">
        <v>1</v>
      </c>
      <c r="I52" s="169" t="str">
        <f t="shared" ref="I52:I57" si="11">IF(D52&gt;F52,"Niet toepasbaar","Toepasbaar")</f>
        <v>Toepasbaar</v>
      </c>
      <c r="J52" s="301">
        <v>0.04</v>
      </c>
      <c r="K52" s="288">
        <f t="shared" si="9"/>
        <v>0.4</v>
      </c>
      <c r="L52" s="288">
        <f t="shared" si="7"/>
        <v>0.04</v>
      </c>
      <c r="M52" s="295" t="str">
        <f t="shared" si="10"/>
        <v>Toepasbaar</v>
      </c>
    </row>
    <row r="53" spans="2:13" x14ac:dyDescent="0.25">
      <c r="B53" s="188" t="str">
        <f>standaardisering!B59</f>
        <v>Chloorbenzenen (som)</v>
      </c>
      <c r="C53" s="162">
        <f>standaardisering!C59</f>
        <v>0</v>
      </c>
      <c r="D53" s="181">
        <f>standaardisering!I59</f>
        <v>0</v>
      </c>
      <c r="E53" s="162" t="str">
        <f>standaardisering!K59</f>
        <v>mg/kg ds</v>
      </c>
      <c r="F53" s="162">
        <v>2</v>
      </c>
      <c r="H53" s="162">
        <v>30</v>
      </c>
      <c r="I53" s="169" t="str">
        <f t="shared" si="11"/>
        <v>Toepasbaar</v>
      </c>
      <c r="J53" s="301"/>
      <c r="K53" s="288">
        <f t="shared" si="9"/>
        <v>4</v>
      </c>
      <c r="L53" s="288">
        <f t="shared" si="7"/>
        <v>4</v>
      </c>
      <c r="M53" s="295" t="str">
        <f t="shared" si="10"/>
        <v>Toepasbaar</v>
      </c>
    </row>
    <row r="54" spans="2:13" x14ac:dyDescent="0.25">
      <c r="B54" s="188" t="str">
        <f>standaardisering!B60</f>
        <v>Pentachloorbenzeen</v>
      </c>
      <c r="C54" s="162">
        <f>standaardisering!C60</f>
        <v>0</v>
      </c>
      <c r="D54" s="181">
        <f>standaardisering!I60</f>
        <v>0</v>
      </c>
      <c r="E54" s="162" t="str">
        <f>standaardisering!K60</f>
        <v>mg/kg ds</v>
      </c>
      <c r="F54" s="162">
        <v>2.5000000000000001E-3</v>
      </c>
      <c r="G54" s="162">
        <v>7.0000000000000001E-3</v>
      </c>
      <c r="I54" s="169" t="str">
        <f t="shared" si="11"/>
        <v>Toepasbaar</v>
      </c>
      <c r="J54" s="301">
        <v>2.5000000000000001E-3</v>
      </c>
      <c r="K54" s="288">
        <f t="shared" si="9"/>
        <v>5.0000000000000001E-3</v>
      </c>
      <c r="L54" s="288">
        <f t="shared" si="7"/>
        <v>2.5000000000000001E-3</v>
      </c>
      <c r="M54" s="295" t="str">
        <f t="shared" si="10"/>
        <v>Toepasbaar</v>
      </c>
    </row>
    <row r="55" spans="2:13" x14ac:dyDescent="0.25">
      <c r="B55" s="188" t="str">
        <f>standaardisering!B61</f>
        <v>Hexachloorbenzeen</v>
      </c>
      <c r="C55" s="162">
        <f>standaardisering!C61</f>
        <v>0</v>
      </c>
      <c r="D55" s="181">
        <f>standaardisering!I61</f>
        <v>0</v>
      </c>
      <c r="E55" s="162" t="str">
        <f>standaardisering!K61</f>
        <v>mg/kg ds</v>
      </c>
      <c r="F55" s="162">
        <v>8.5000000000000006E-3</v>
      </c>
      <c r="G55" s="162">
        <v>4.4000000000000003E-3</v>
      </c>
      <c r="I55" s="169" t="str">
        <f t="shared" si="11"/>
        <v>Toepasbaar</v>
      </c>
      <c r="J55" s="301">
        <v>2.7E-2</v>
      </c>
      <c r="K55" s="288">
        <f t="shared" si="9"/>
        <v>1.7000000000000001E-2</v>
      </c>
      <c r="L55" s="288">
        <f t="shared" si="7"/>
        <v>1.7000000000000001E-2</v>
      </c>
      <c r="M55" s="295" t="str">
        <f t="shared" si="10"/>
        <v>Toepasbaar</v>
      </c>
    </row>
    <row r="56" spans="2:13" x14ac:dyDescent="0.25">
      <c r="B56" s="188" t="str">
        <f>standaardisering!B62</f>
        <v>chloorfenolen (som)</v>
      </c>
      <c r="C56" s="162">
        <f>standaardisering!C62</f>
        <v>0</v>
      </c>
      <c r="D56" s="181">
        <f>standaardisering!I62</f>
        <v>0</v>
      </c>
      <c r="E56" s="162" t="str">
        <f>standaardisering!K62</f>
        <v>mg/kg ds</v>
      </c>
      <c r="H56" s="162">
        <v>10</v>
      </c>
      <c r="I56" s="169"/>
      <c r="J56" s="301"/>
      <c r="K56" s="288">
        <f t="shared" si="9"/>
        <v>0</v>
      </c>
      <c r="L56" s="288">
        <f t="shared" si="7"/>
        <v>0</v>
      </c>
      <c r="M56" s="295" t="str">
        <f t="shared" si="10"/>
        <v>Toepasbaar</v>
      </c>
    </row>
    <row r="57" spans="2:13" x14ac:dyDescent="0.25">
      <c r="B57" s="188" t="str">
        <f>standaardisering!B63</f>
        <v>Pentachloorfenol en de zouten en esters daarvan</v>
      </c>
      <c r="C57" s="162">
        <f>standaardisering!C63</f>
        <v>0</v>
      </c>
      <c r="D57" s="181">
        <f>standaardisering!I63</f>
        <v>0</v>
      </c>
      <c r="E57" s="162" t="str">
        <f>standaardisering!K63</f>
        <v>mg/kg ds</v>
      </c>
      <c r="F57" s="162">
        <v>3.0000000000000001E-3</v>
      </c>
      <c r="G57" s="162">
        <v>1.6E-2</v>
      </c>
      <c r="H57" s="162">
        <v>5</v>
      </c>
      <c r="I57" s="169" t="str">
        <f t="shared" si="11"/>
        <v>Toepasbaar</v>
      </c>
      <c r="J57" s="301">
        <v>1.4</v>
      </c>
      <c r="K57" s="288">
        <f t="shared" si="9"/>
        <v>6.0000000000000001E-3</v>
      </c>
      <c r="L57" s="288">
        <f t="shared" si="7"/>
        <v>6.0000000000000001E-3</v>
      </c>
      <c r="M57" s="295" t="str">
        <f t="shared" si="10"/>
        <v>Toepasbaar</v>
      </c>
    </row>
    <row r="58" spans="2:13" x14ac:dyDescent="0.25">
      <c r="B58" s="188"/>
      <c r="I58" s="169"/>
      <c r="J58" s="301"/>
      <c r="K58" s="288">
        <f t="shared" si="9"/>
        <v>0</v>
      </c>
      <c r="M58" s="295"/>
    </row>
    <row r="59" spans="2:13" x14ac:dyDescent="0.25">
      <c r="B59" s="187" t="str">
        <f>standaardisering!B65</f>
        <v xml:space="preserve">Bestrijdingsmiddelen </v>
      </c>
      <c r="C59" s="162" t="str">
        <f>standaardisering!C65</f>
        <v>rapportagegrens</v>
      </c>
      <c r="I59" s="169"/>
      <c r="J59" s="301"/>
      <c r="M59" s="295"/>
    </row>
    <row r="60" spans="2:13" x14ac:dyDescent="0.25">
      <c r="B60" s="188" t="str">
        <f>standaardisering!B66</f>
        <v>Chloordaan (chloordaan (som) kan hiervoor worden ingevuld)</v>
      </c>
      <c r="C60" s="162">
        <f>standaardisering!C66</f>
        <v>0</v>
      </c>
      <c r="D60" s="179">
        <f>standaardisering!I66</f>
        <v>0</v>
      </c>
      <c r="E60" s="162" t="str">
        <f>standaardisering!K66</f>
        <v>mg/kg ds</v>
      </c>
      <c r="F60" s="162">
        <v>2E-3</v>
      </c>
      <c r="H60" s="162">
        <v>4</v>
      </c>
      <c r="I60" s="169" t="str">
        <f t="shared" ref="I60" si="12">IF(D60&gt;F60,"Niet toepasbaar","Toepasbaar")</f>
        <v>Toepasbaar</v>
      </c>
      <c r="J60" s="301">
        <v>2E-3</v>
      </c>
      <c r="K60" s="288">
        <f>F60*2</f>
        <v>4.0000000000000001E-3</v>
      </c>
      <c r="L60" s="288">
        <f t="shared" si="7"/>
        <v>2E-3</v>
      </c>
      <c r="M60" s="295" t="str">
        <f>IF(D60&gt;L60,"Niet toepasbaar","Toepasbaar")</f>
        <v>Toepasbaar</v>
      </c>
    </row>
    <row r="61" spans="2:13" x14ac:dyDescent="0.25">
      <c r="B61" s="188" t="str">
        <f>standaardisering!B67</f>
        <v>DDT</v>
      </c>
      <c r="C61" s="162">
        <f>standaardisering!C67</f>
        <v>0</v>
      </c>
      <c r="D61" s="179">
        <f>standaardisering!I67</f>
        <v>0</v>
      </c>
      <c r="E61" s="162" t="str">
        <f>standaardisering!K67</f>
        <v>mg/kg ds</v>
      </c>
      <c r="F61" s="168" t="s">
        <v>482</v>
      </c>
      <c r="I61" s="169"/>
      <c r="J61" s="301"/>
      <c r="M61" s="295"/>
    </row>
    <row r="62" spans="2:13" x14ac:dyDescent="0.25">
      <c r="B62" s="188" t="str">
        <f>standaardisering!B68</f>
        <v xml:space="preserve">DDE of 2,2-bis(p-chlorophenyl)-1,1-dichloroethylene </v>
      </c>
      <c r="C62" s="162">
        <f>standaardisering!C68</f>
        <v>0</v>
      </c>
      <c r="D62" s="179">
        <f>standaardisering!I68</f>
        <v>0</v>
      </c>
      <c r="E62" s="162" t="str">
        <f>standaardisering!K68</f>
        <v>mg/kg ds</v>
      </c>
      <c r="I62" s="169"/>
      <c r="J62" s="301"/>
      <c r="M62" s="295"/>
    </row>
    <row r="63" spans="2:13" x14ac:dyDescent="0.25">
      <c r="B63" s="188" t="str">
        <f>standaardisering!B69</f>
        <v>DDD of dichlorodiphenyldichloroethane</v>
      </c>
      <c r="C63" s="162">
        <f>standaardisering!C69</f>
        <v>0</v>
      </c>
      <c r="D63" s="179">
        <f>standaardisering!I69</f>
        <v>0</v>
      </c>
      <c r="E63" s="162" t="str">
        <f>standaardisering!K69</f>
        <v>mg/kg ds</v>
      </c>
      <c r="I63" s="169"/>
      <c r="J63" s="301"/>
      <c r="M63" s="295"/>
    </row>
    <row r="64" spans="2:13" x14ac:dyDescent="0.25">
      <c r="B64" s="188" t="str">
        <f>standaardisering!B70</f>
        <v>DDT/DDE/DDD(som)</v>
      </c>
      <c r="C64" s="162">
        <f>standaardisering!C70</f>
        <v>0</v>
      </c>
      <c r="D64" s="179">
        <f>standaardisering!I70</f>
        <v>0</v>
      </c>
      <c r="E64" s="162" t="str">
        <f>standaardisering!K70</f>
        <v>mg/kg ds</v>
      </c>
      <c r="F64" s="162">
        <v>0.3</v>
      </c>
      <c r="G64" s="162">
        <v>0.3</v>
      </c>
      <c r="H64" s="162">
        <v>4</v>
      </c>
      <c r="I64" s="169" t="str">
        <f t="shared" ref="I64" si="13">IF(D64&gt;F64,"Niet toepasbaar","Toepasbaar")</f>
        <v>Toepasbaar</v>
      </c>
      <c r="J64" s="301"/>
      <c r="K64" s="288">
        <f t="shared" ref="K64:K74" si="14">F64*2</f>
        <v>0.6</v>
      </c>
      <c r="L64" s="288">
        <f t="shared" si="7"/>
        <v>0.6</v>
      </c>
      <c r="M64" s="295" t="str">
        <f t="shared" ref="M64:M74" si="15">IF(D64&gt;L64,"Niet toepasbaar","Toepasbaar")</f>
        <v>Toepasbaar</v>
      </c>
    </row>
    <row r="65" spans="2:13" x14ac:dyDescent="0.25">
      <c r="B65" s="188" t="str">
        <f>standaardisering!B71</f>
        <v>Aldrin</v>
      </c>
      <c r="C65" s="162">
        <f>standaardisering!C71</f>
        <v>0</v>
      </c>
      <c r="D65" s="179">
        <f>standaardisering!I71</f>
        <v>0</v>
      </c>
      <c r="E65" s="162" t="str">
        <f>standaardisering!K71</f>
        <v>mg/kg ds</v>
      </c>
      <c r="F65" s="162">
        <v>8.0000000000000004E-4</v>
      </c>
      <c r="G65" s="162">
        <v>1.2999999999999999E-3</v>
      </c>
      <c r="I65" s="169"/>
      <c r="J65" s="301"/>
      <c r="K65" s="288">
        <f t="shared" si="14"/>
        <v>1.6000000000000001E-3</v>
      </c>
      <c r="L65" s="288">
        <f t="shared" si="7"/>
        <v>1.6000000000000001E-3</v>
      </c>
      <c r="M65" s="295" t="str">
        <f t="shared" si="15"/>
        <v>Toepasbaar</v>
      </c>
    </row>
    <row r="66" spans="2:13" x14ac:dyDescent="0.25">
      <c r="B66" s="188" t="str">
        <f>standaardisering!B72</f>
        <v>Dieldrin</v>
      </c>
      <c r="C66" s="162">
        <f>standaardisering!C72</f>
        <v>0</v>
      </c>
      <c r="D66" s="179">
        <f>standaardisering!I72</f>
        <v>0</v>
      </c>
      <c r="E66" s="162" t="str">
        <f>standaardisering!K72</f>
        <v>mg/kg ds</v>
      </c>
      <c r="F66" s="162">
        <v>8.0000000000000002E-3</v>
      </c>
      <c r="G66" s="162">
        <v>8.0000000000000002E-3</v>
      </c>
      <c r="I66" s="169"/>
      <c r="J66" s="301"/>
      <c r="K66" s="288">
        <f t="shared" si="14"/>
        <v>1.6E-2</v>
      </c>
      <c r="L66" s="288">
        <f t="shared" si="7"/>
        <v>1.6E-2</v>
      </c>
      <c r="M66" s="295" t="str">
        <f t="shared" si="15"/>
        <v>Toepasbaar</v>
      </c>
    </row>
    <row r="67" spans="2:13" x14ac:dyDescent="0.25">
      <c r="B67" s="188" t="str">
        <f>standaardisering!B73</f>
        <v>Endrin</v>
      </c>
      <c r="C67" s="162">
        <f>standaardisering!C73</f>
        <v>0</v>
      </c>
      <c r="D67" s="179">
        <f>standaardisering!I73</f>
        <v>0</v>
      </c>
      <c r="E67" s="162" t="str">
        <f>standaardisering!K73</f>
        <v>mg/kg ds</v>
      </c>
      <c r="F67" s="162">
        <v>3.5000000000000001E-3</v>
      </c>
      <c r="G67" s="162">
        <v>3.5000000000000001E-3</v>
      </c>
      <c r="I67" s="169"/>
      <c r="J67" s="301"/>
      <c r="K67" s="288">
        <f t="shared" si="14"/>
        <v>7.0000000000000001E-3</v>
      </c>
      <c r="L67" s="288">
        <f t="shared" si="7"/>
        <v>7.0000000000000001E-3</v>
      </c>
      <c r="M67" s="295" t="str">
        <f t="shared" si="15"/>
        <v>Toepasbaar</v>
      </c>
    </row>
    <row r="68" spans="2:13" x14ac:dyDescent="0.25">
      <c r="B68" s="188" t="str">
        <f>standaardisering!B74</f>
        <v>Isodrin</v>
      </c>
      <c r="C68" s="162">
        <f>standaardisering!C74</f>
        <v>0</v>
      </c>
      <c r="D68" s="179">
        <f>standaardisering!I74</f>
        <v>0</v>
      </c>
      <c r="E68" s="162" t="str">
        <f>standaardisering!K74</f>
        <v>mg/kg ds</v>
      </c>
      <c r="F68" s="162">
        <v>1E-3</v>
      </c>
      <c r="I68" s="169"/>
      <c r="J68" s="301"/>
      <c r="K68" s="288">
        <f t="shared" si="14"/>
        <v>2E-3</v>
      </c>
      <c r="L68" s="288">
        <f t="shared" si="7"/>
        <v>2E-3</v>
      </c>
      <c r="M68" s="295" t="str">
        <f t="shared" si="15"/>
        <v>Toepasbaar</v>
      </c>
    </row>
    <row r="69" spans="2:13" x14ac:dyDescent="0.25">
      <c r="B69" s="188" t="str">
        <f>standaardisering!B75</f>
        <v>Isobenzan of telodrin</v>
      </c>
      <c r="C69" s="162">
        <f>standaardisering!C75</f>
        <v>0</v>
      </c>
      <c r="D69" s="179">
        <f>standaardisering!I75</f>
        <v>0</v>
      </c>
      <c r="E69" s="162" t="str">
        <f>standaardisering!K75</f>
        <v>mg/kg ds</v>
      </c>
      <c r="F69" s="162">
        <v>2.5000000000000001E-4</v>
      </c>
      <c r="I69" s="169"/>
      <c r="J69" s="301"/>
      <c r="K69" s="288">
        <f t="shared" si="14"/>
        <v>5.0000000000000001E-4</v>
      </c>
      <c r="L69" s="288">
        <f t="shared" si="7"/>
        <v>5.0000000000000001E-4</v>
      </c>
      <c r="M69" s="295" t="str">
        <f t="shared" si="15"/>
        <v>Toepasbaar</v>
      </c>
    </row>
    <row r="70" spans="2:13" x14ac:dyDescent="0.25">
      <c r="B70" s="188" t="str">
        <f>standaardisering!B76</f>
        <v>Drins (som)</v>
      </c>
      <c r="C70" s="162">
        <f>standaardisering!C76</f>
        <v>0</v>
      </c>
      <c r="D70" s="179">
        <f>standaardisering!I76</f>
        <v>0</v>
      </c>
      <c r="E70" s="162" t="str">
        <f>standaardisering!K76</f>
        <v>mg/kg ds</v>
      </c>
      <c r="F70" s="162">
        <v>1.4999999999999999E-2</v>
      </c>
      <c r="G70" s="162">
        <v>1.4999999999999999E-2</v>
      </c>
      <c r="H70" s="162">
        <v>4</v>
      </c>
      <c r="I70" s="169" t="str">
        <f t="shared" ref="I70:I71" si="16">IF(D70&gt;F70,"Niet toepasbaar","Toepasbaar")</f>
        <v>Toepasbaar</v>
      </c>
      <c r="J70" s="301">
        <v>0.04</v>
      </c>
      <c r="K70" s="288">
        <f t="shared" si="14"/>
        <v>0.03</v>
      </c>
      <c r="L70" s="288">
        <f t="shared" si="7"/>
        <v>0.03</v>
      </c>
      <c r="M70" s="295" t="str">
        <f t="shared" si="15"/>
        <v>Toepasbaar</v>
      </c>
    </row>
    <row r="71" spans="2:13" x14ac:dyDescent="0.25">
      <c r="B71" s="188" t="str">
        <f>standaardisering!B77</f>
        <v>alfa-endosulfan</v>
      </c>
      <c r="C71" s="162">
        <f>standaardisering!C77</f>
        <v>0</v>
      </c>
      <c r="D71" s="179">
        <f>standaardisering!I77</f>
        <v>0</v>
      </c>
      <c r="E71" s="162" t="str">
        <f>standaardisering!K77</f>
        <v>mg/kg ds</v>
      </c>
      <c r="F71" s="162">
        <v>8.9999999999999998E-4</v>
      </c>
      <c r="G71" s="162">
        <v>2.0999999999999999E-3</v>
      </c>
      <c r="H71" s="162">
        <v>4</v>
      </c>
      <c r="I71" s="169" t="str">
        <f t="shared" si="16"/>
        <v>Toepasbaar</v>
      </c>
      <c r="J71" s="301">
        <v>8.9999999999999998E-4</v>
      </c>
      <c r="K71" s="288">
        <f t="shared" si="14"/>
        <v>1.8E-3</v>
      </c>
      <c r="L71" s="288">
        <f t="shared" si="7"/>
        <v>8.9999999999999998E-4</v>
      </c>
      <c r="M71" s="295" t="str">
        <f t="shared" si="15"/>
        <v>Toepasbaar</v>
      </c>
    </row>
    <row r="72" spans="2:13" x14ac:dyDescent="0.25">
      <c r="B72" s="188" t="str">
        <f>standaardisering!B78</f>
        <v>alfa-HCH</v>
      </c>
      <c r="C72" s="162">
        <f>standaardisering!C78</f>
        <v>0</v>
      </c>
      <c r="D72" s="179">
        <f>standaardisering!I78</f>
        <v>0</v>
      </c>
      <c r="E72" s="162" t="str">
        <f>standaardisering!K78</f>
        <v>mg/kg ds</v>
      </c>
      <c r="F72" s="162">
        <v>1E-3</v>
      </c>
      <c r="G72" s="162">
        <v>1.1999999999999999E-3</v>
      </c>
      <c r="I72" s="169"/>
      <c r="J72" s="301">
        <v>1E-3</v>
      </c>
      <c r="K72" s="288">
        <f t="shared" si="14"/>
        <v>2E-3</v>
      </c>
      <c r="L72" s="288">
        <f t="shared" si="7"/>
        <v>1E-3</v>
      </c>
      <c r="M72" s="295" t="str">
        <f t="shared" si="15"/>
        <v>Toepasbaar</v>
      </c>
    </row>
    <row r="73" spans="2:13" x14ac:dyDescent="0.25">
      <c r="B73" s="188" t="str">
        <f>standaardisering!B79</f>
        <v>beta-HCH</v>
      </c>
      <c r="C73" s="162">
        <f>standaardisering!C79</f>
        <v>0</v>
      </c>
      <c r="D73" s="179">
        <f>standaardisering!I79</f>
        <v>0</v>
      </c>
      <c r="E73" s="162" t="str">
        <f>standaardisering!K79</f>
        <v>mg/kg ds</v>
      </c>
      <c r="F73" s="162">
        <v>2E-3</v>
      </c>
      <c r="G73" s="162">
        <v>6.4999999999999997E-3</v>
      </c>
      <c r="I73" s="169"/>
      <c r="J73" s="301">
        <v>2E-3</v>
      </c>
      <c r="K73" s="288">
        <f t="shared" si="14"/>
        <v>4.0000000000000001E-3</v>
      </c>
      <c r="L73" s="288">
        <f t="shared" si="7"/>
        <v>2E-3</v>
      </c>
      <c r="M73" s="295" t="str">
        <f t="shared" si="15"/>
        <v>Toepasbaar</v>
      </c>
    </row>
    <row r="74" spans="2:13" x14ac:dyDescent="0.25">
      <c r="B74" s="188" t="str">
        <f>standaardisering!B80</f>
        <v>delta-HCH</v>
      </c>
      <c r="C74" s="162">
        <f>standaardisering!C80</f>
        <v>0</v>
      </c>
      <c r="D74" s="179">
        <f>standaardisering!I80</f>
        <v>0</v>
      </c>
      <c r="E74" s="162" t="str">
        <f>standaardisering!K80</f>
        <v>mg/kg ds</v>
      </c>
      <c r="F74" s="162">
        <v>3.0000000000000001E-3</v>
      </c>
      <c r="G74" s="162">
        <v>3.0000000000000001E-3</v>
      </c>
      <c r="I74" s="169"/>
      <c r="J74" s="301">
        <v>0.04</v>
      </c>
      <c r="K74" s="288">
        <f t="shared" si="14"/>
        <v>6.0000000000000001E-3</v>
      </c>
      <c r="L74" s="288">
        <f t="shared" si="7"/>
        <v>6.0000000000000001E-3</v>
      </c>
      <c r="M74" s="295" t="str">
        <f t="shared" si="15"/>
        <v>Toepasbaar</v>
      </c>
    </row>
    <row r="75" spans="2:13" x14ac:dyDescent="0.25">
      <c r="B75" s="188" t="str">
        <f>standaardisering!B81</f>
        <v>gamma-HCH</v>
      </c>
      <c r="C75" s="162">
        <f>standaardisering!C81</f>
        <v>0</v>
      </c>
      <c r="D75" s="179">
        <f>standaardisering!I81</f>
        <v>0</v>
      </c>
      <c r="E75" s="162" t="str">
        <f>standaardisering!K81</f>
        <v>mg/kg ds</v>
      </c>
      <c r="I75" s="169"/>
      <c r="J75" s="301"/>
      <c r="M75" s="295"/>
    </row>
    <row r="76" spans="2:13" x14ac:dyDescent="0.25">
      <c r="B76" s="188" t="str">
        <f>standaardisering!B82</f>
        <v>HCH (alle hexachloorcyclohexanen, inclusief lindaan)</v>
      </c>
      <c r="C76" s="162">
        <f>standaardisering!C82</f>
        <v>0</v>
      </c>
      <c r="D76" s="179">
        <f>standaardisering!I82</f>
        <v>0</v>
      </c>
      <c r="E76" s="162" t="str">
        <f>standaardisering!K82</f>
        <v>mg/kg ds</v>
      </c>
      <c r="F76" s="162">
        <v>0.01</v>
      </c>
      <c r="G76" s="162">
        <v>0.01</v>
      </c>
      <c r="H76" s="162">
        <v>2</v>
      </c>
      <c r="I76" s="169" t="str">
        <f t="shared" ref="I76:I79" si="17">IF(D76&gt;F76,"Niet toepasbaar","Toepasbaar")</f>
        <v>Toepasbaar</v>
      </c>
      <c r="J76" s="301"/>
      <c r="K76" s="288">
        <f t="shared" ref="K76:K79" si="18">F76*2</f>
        <v>0.02</v>
      </c>
      <c r="L76" s="288">
        <f t="shared" si="7"/>
        <v>0.02</v>
      </c>
      <c r="M76" s="295" t="str">
        <f t="shared" ref="M76:M79" si="19">IF(D76&gt;L76,"Niet toepasbaar","Toepasbaar")</f>
        <v>Toepasbaar</v>
      </c>
    </row>
    <row r="77" spans="2:13" x14ac:dyDescent="0.25">
      <c r="B77" s="188" t="str">
        <f>standaardisering!B83</f>
        <v>Heptachloor</v>
      </c>
      <c r="C77" s="162">
        <f>standaardisering!C83</f>
        <v>0</v>
      </c>
      <c r="D77" s="179">
        <f>standaardisering!I83</f>
        <v>0</v>
      </c>
      <c r="E77" s="162" t="str">
        <f>standaardisering!K83</f>
        <v>mg/kg ds</v>
      </c>
      <c r="F77" s="162">
        <v>6.9999999999999999E-4</v>
      </c>
      <c r="G77" s="162">
        <v>4.0000000000000001E-3</v>
      </c>
      <c r="H77" s="162">
        <v>4</v>
      </c>
      <c r="I77" s="169" t="str">
        <f t="shared" si="17"/>
        <v>Toepasbaar</v>
      </c>
      <c r="J77" s="301">
        <v>6.9999999999999999E-4</v>
      </c>
      <c r="K77" s="288">
        <f t="shared" si="18"/>
        <v>1.4E-3</v>
      </c>
      <c r="L77" s="288">
        <f t="shared" si="7"/>
        <v>6.9999999999999999E-4</v>
      </c>
      <c r="M77" s="295" t="str">
        <f t="shared" si="19"/>
        <v>Toepasbaar</v>
      </c>
    </row>
    <row r="78" spans="2:13" x14ac:dyDescent="0.25">
      <c r="B78" s="188" t="str">
        <f>standaardisering!B84</f>
        <v>Heptachloorepoxide</v>
      </c>
      <c r="C78" s="162">
        <f>standaardisering!C84</f>
        <v>0</v>
      </c>
      <c r="D78" s="179">
        <f>standaardisering!I84</f>
        <v>0</v>
      </c>
      <c r="E78" s="162" t="str">
        <f>standaardisering!K84</f>
        <v>mg/kg ds</v>
      </c>
      <c r="F78" s="162">
        <v>2E-3</v>
      </c>
      <c r="G78" s="162">
        <v>4.0000000000000001E-3</v>
      </c>
      <c r="H78" s="162">
        <v>4</v>
      </c>
      <c r="I78" s="169" t="str">
        <f t="shared" si="17"/>
        <v>Toepasbaar</v>
      </c>
      <c r="J78" s="301">
        <v>2E-3</v>
      </c>
      <c r="K78" s="288">
        <f t="shared" si="18"/>
        <v>4.0000000000000001E-3</v>
      </c>
      <c r="L78" s="288">
        <f t="shared" si="7"/>
        <v>2E-3</v>
      </c>
      <c r="M78" s="295" t="str">
        <f t="shared" si="19"/>
        <v>Toepasbaar</v>
      </c>
    </row>
    <row r="79" spans="2:13" x14ac:dyDescent="0.25">
      <c r="B79" s="188" t="str">
        <f>standaardisering!B85</f>
        <v>Hexachloorbutadieen</v>
      </c>
      <c r="C79" s="162">
        <f>standaardisering!C85</f>
        <v>0</v>
      </c>
      <c r="D79" s="179">
        <f>standaardisering!I85</f>
        <v>0</v>
      </c>
      <c r="E79" s="162" t="str">
        <f>standaardisering!K85</f>
        <v>mg/kg ds</v>
      </c>
      <c r="F79" s="162">
        <v>3.0000000000000001E-3</v>
      </c>
      <c r="G79" s="162">
        <v>7.4999999999999997E-3</v>
      </c>
      <c r="I79" s="169" t="str">
        <f t="shared" si="17"/>
        <v>Toepasbaar</v>
      </c>
      <c r="J79" s="301"/>
      <c r="K79" s="288">
        <f t="shared" si="18"/>
        <v>6.0000000000000001E-3</v>
      </c>
      <c r="L79" s="288">
        <f t="shared" si="7"/>
        <v>6.0000000000000001E-3</v>
      </c>
      <c r="M79" s="295" t="str">
        <f t="shared" si="19"/>
        <v>Toepasbaar</v>
      </c>
    </row>
    <row r="80" spans="2:13" x14ac:dyDescent="0.25">
      <c r="B80" s="188" t="str">
        <f>standaardisering!B86</f>
        <v>Enodsulfansulfaat</v>
      </c>
      <c r="C80" s="162">
        <f>standaardisering!C86</f>
        <v>0</v>
      </c>
      <c r="D80" s="179">
        <f>standaardisering!I86</f>
        <v>0</v>
      </c>
      <c r="E80" s="162" t="str">
        <f>standaardisering!K86</f>
        <v>mg/kg ds</v>
      </c>
      <c r="I80" s="169"/>
      <c r="J80" s="301"/>
      <c r="M80" s="295"/>
    </row>
    <row r="81" spans="2:13" x14ac:dyDescent="0.25">
      <c r="B81" s="188" t="str">
        <f>standaardisering!B87</f>
        <v>OCB (som)</v>
      </c>
      <c r="C81" s="162">
        <f>standaardisering!C87</f>
        <v>0</v>
      </c>
      <c r="D81" s="179">
        <f>standaardisering!I87</f>
        <v>0</v>
      </c>
      <c r="E81" s="162" t="str">
        <f>standaardisering!K87</f>
        <v>mg/kg ds</v>
      </c>
      <c r="F81" s="162">
        <v>0.04</v>
      </c>
      <c r="I81" s="169" t="str">
        <f t="shared" ref="I81" si="20">IF(D81&gt;F81,"Niet toepasbaar","Toepasbaar")</f>
        <v>Toepasbaar</v>
      </c>
      <c r="J81" s="301"/>
      <c r="K81" s="288">
        <f>F81*2</f>
        <v>0.08</v>
      </c>
      <c r="L81" s="288">
        <f t="shared" si="7"/>
        <v>0.08</v>
      </c>
      <c r="M81" s="295" t="str">
        <f>IF(D81&gt;L81,"Niet toepasbaar","Toepasbaar")</f>
        <v>Toepasbaar</v>
      </c>
    </row>
    <row r="82" spans="2:13" x14ac:dyDescent="0.25">
      <c r="B82" s="188"/>
      <c r="I82" s="169"/>
      <c r="J82" s="301"/>
      <c r="M82" s="295"/>
    </row>
    <row r="83" spans="2:13" x14ac:dyDescent="0.25">
      <c r="B83" s="187" t="str">
        <f>standaardisering!B89</f>
        <v>Organotin bestrijdingsmiddelen</v>
      </c>
      <c r="C83" s="162">
        <f>standaardisering!C89</f>
        <v>0</v>
      </c>
      <c r="I83" s="169"/>
      <c r="J83" s="301"/>
      <c r="M83" s="295"/>
    </row>
    <row r="84" spans="2:13" x14ac:dyDescent="0.25">
      <c r="B84" s="188" t="str">
        <f>standaardisering!B90</f>
        <v>organotinverbindingen</v>
      </c>
      <c r="C84" s="162">
        <f>standaardisering!C90</f>
        <v>0</v>
      </c>
      <c r="D84" s="162">
        <f>standaardisering!I90</f>
        <v>0</v>
      </c>
      <c r="E84" s="162" t="str">
        <f>standaardisering!K90</f>
        <v>mg/kg ds</v>
      </c>
      <c r="F84" s="162">
        <v>0.15</v>
      </c>
      <c r="H84" s="162">
        <v>2.5</v>
      </c>
      <c r="I84" s="169" t="str">
        <f t="shared" ref="I84:I85" si="21">IF(D84&gt;F84,"Niet toepasbaar","Toepasbaar")</f>
        <v>Toepasbaar</v>
      </c>
      <c r="J84" s="301">
        <v>0.5</v>
      </c>
      <c r="K84" s="288">
        <f t="shared" ref="K84:K85" si="22">F84*2</f>
        <v>0.3</v>
      </c>
      <c r="L84" s="288">
        <f t="shared" si="7"/>
        <v>0.3</v>
      </c>
      <c r="M84" s="295" t="str">
        <f t="shared" ref="M84:M85" si="23">IF(D84&gt;L84,"Niet toepasbaar","Toepasbaar")</f>
        <v>Toepasbaar</v>
      </c>
    </row>
    <row r="85" spans="2:13" ht="13.8" thickBot="1" x14ac:dyDescent="0.3">
      <c r="B85" s="188" t="str">
        <f>standaardisering!B91</f>
        <v>Tributyltin</v>
      </c>
      <c r="C85" s="162">
        <f>standaardisering!C91</f>
        <v>0</v>
      </c>
      <c r="D85" s="162">
        <f>standaardisering!I91</f>
        <v>0</v>
      </c>
      <c r="E85" s="162" t="str">
        <f>standaardisering!K91</f>
        <v>mg/kg ds</v>
      </c>
      <c r="F85" s="162">
        <v>6.5000000000000002E-2</v>
      </c>
      <c r="G85" s="162">
        <v>0.25</v>
      </c>
      <c r="I85" s="169" t="str">
        <f t="shared" si="21"/>
        <v>Toepasbaar</v>
      </c>
      <c r="J85" s="306">
        <v>6.5000000000000002E-2</v>
      </c>
      <c r="K85" s="296">
        <f t="shared" si="22"/>
        <v>0.13</v>
      </c>
      <c r="L85" s="296">
        <f t="shared" si="7"/>
        <v>6.5000000000000002E-2</v>
      </c>
      <c r="M85" s="297" t="str">
        <f t="shared" si="23"/>
        <v>Toepasbaar</v>
      </c>
    </row>
    <row r="86" spans="2:13" x14ac:dyDescent="0.25">
      <c r="B86" s="188"/>
      <c r="I86" s="169"/>
    </row>
    <row r="87" spans="2:13" x14ac:dyDescent="0.25">
      <c r="B87" s="187" t="s">
        <v>477</v>
      </c>
      <c r="I87" s="174" t="str">
        <f>S16</f>
        <v>Wel toepasbaar</v>
      </c>
    </row>
    <row r="88" spans="2:13" ht="13.8" thickBot="1" x14ac:dyDescent="0.3">
      <c r="B88" s="189" t="s">
        <v>478</v>
      </c>
      <c r="C88" s="177"/>
      <c r="D88" s="177"/>
      <c r="E88" s="177"/>
      <c r="F88" s="177"/>
      <c r="G88" s="177"/>
      <c r="H88" s="177"/>
      <c r="I88" s="183" t="str">
        <f>IF(D27&gt;=100,"Sterk verontreinigd","Niet verontreinigd")</f>
        <v>Niet verontreinigd</v>
      </c>
    </row>
    <row r="89" spans="2:13" ht="13.8" thickBot="1" x14ac:dyDescent="0.3"/>
    <row r="90" spans="2:13" x14ac:dyDescent="0.25">
      <c r="B90" s="190" t="str">
        <f>'Toepassen op waterbodem'!B90</f>
        <v xml:space="preserve">PFAS verbindingen </v>
      </c>
      <c r="C90" s="166"/>
      <c r="D90" s="166" t="str">
        <f>'Toepassen op waterbodem'!D90</f>
        <v>gestandaardiseerd gehalte</v>
      </c>
      <c r="E90" s="166" t="str">
        <f>'Toepassen op waterbodem'!E90</f>
        <v>Eenheid</v>
      </c>
      <c r="F90" s="166" t="str">
        <f>'Toepassen op waterbodem'!F90</f>
        <v>Toetswaarde</v>
      </c>
      <c r="G90" s="166"/>
      <c r="H90" s="166" t="str">
        <f>'Toepassen op waterbodem'!G90</f>
        <v>Parameteroordeel</v>
      </c>
      <c r="I90" s="165"/>
    </row>
    <row r="91" spans="2:13" x14ac:dyDescent="0.25">
      <c r="B91" s="191" t="str">
        <f>'Toepassen op waterbodem'!B91</f>
        <v>Perfluorbutaanzuur (PFBA)</v>
      </c>
      <c r="C91" s="168"/>
      <c r="D91" s="192">
        <f>'Toepassen op waterbodem'!D91</f>
        <v>0</v>
      </c>
      <c r="E91" s="168" t="str">
        <f>'Toepassen op waterbodem'!E91</f>
        <v>µg/kg ds</v>
      </c>
      <c r="F91" s="168">
        <f>'Toepassen op waterbodem'!F91</f>
        <v>0.8</v>
      </c>
      <c r="G91" s="168"/>
      <c r="H91" s="168" t="str">
        <f>'Toepassen op waterbodem'!G91</f>
        <v>toepasbaar</v>
      </c>
      <c r="I91" s="169"/>
    </row>
    <row r="92" spans="2:13" x14ac:dyDescent="0.25">
      <c r="B92" s="191" t="str">
        <f>'Toepassen op waterbodem'!B92</f>
        <v>Perfluorpentaanzuur (PFPeA)</v>
      </c>
      <c r="C92" s="168"/>
      <c r="D92" s="192">
        <f>'Toepassen op waterbodem'!D92</f>
        <v>0</v>
      </c>
      <c r="E92" s="168" t="str">
        <f>'Toepassen op waterbodem'!E92</f>
        <v>µg/kg ds</v>
      </c>
      <c r="F92" s="168">
        <f>'Toepassen op waterbodem'!F92</f>
        <v>0.8</v>
      </c>
      <c r="G92" s="168"/>
      <c r="H92" s="168" t="str">
        <f>'Toepassen op waterbodem'!G92</f>
        <v>toepasbaar</v>
      </c>
      <c r="I92" s="169"/>
    </row>
    <row r="93" spans="2:13" x14ac:dyDescent="0.25">
      <c r="B93" s="191" t="str">
        <f>'Toepassen op waterbodem'!B93</f>
        <v>Perfluorhexaanzuur (PFHxA )</v>
      </c>
      <c r="C93" s="168"/>
      <c r="D93" s="192">
        <f>'Toepassen op waterbodem'!D93</f>
        <v>0</v>
      </c>
      <c r="E93" s="168" t="str">
        <f>'Toepassen op waterbodem'!E93</f>
        <v>µg/kg ds</v>
      </c>
      <c r="F93" s="168">
        <f>'Toepassen op waterbodem'!F93</f>
        <v>0.8</v>
      </c>
      <c r="G93" s="168"/>
      <c r="H93" s="168" t="str">
        <f>'Toepassen op waterbodem'!G93</f>
        <v>toepasbaar</v>
      </c>
      <c r="I93" s="169"/>
    </row>
    <row r="94" spans="2:13" x14ac:dyDescent="0.25">
      <c r="B94" s="191" t="str">
        <f>'Toepassen op waterbodem'!B94</f>
        <v>Perfluorheptaanzuur (PFHpA)</v>
      </c>
      <c r="C94" s="168"/>
      <c r="D94" s="192">
        <f>'Toepassen op waterbodem'!D94</f>
        <v>0</v>
      </c>
      <c r="E94" s="168" t="str">
        <f>'Toepassen op waterbodem'!E94</f>
        <v>µg/kg ds</v>
      </c>
      <c r="F94" s="168">
        <f>'Toepassen op waterbodem'!F94</f>
        <v>0.8</v>
      </c>
      <c r="G94" s="168"/>
      <c r="H94" s="168" t="str">
        <f>'Toepassen op waterbodem'!G94</f>
        <v>toepasbaar</v>
      </c>
      <c r="I94" s="169"/>
    </row>
    <row r="95" spans="2:13" x14ac:dyDescent="0.25">
      <c r="B95" s="191" t="str">
        <f>'Toepassen op waterbodem'!B95</f>
        <v>Perfluornonaanzuur (PFNA)</v>
      </c>
      <c r="C95" s="168"/>
      <c r="D95" s="192">
        <f>'Toepassen op waterbodem'!D95</f>
        <v>0</v>
      </c>
      <c r="E95" s="168" t="str">
        <f>'Toepassen op waterbodem'!E95</f>
        <v>µg/kg ds</v>
      </c>
      <c r="F95" s="168">
        <f>'Toepassen op waterbodem'!F95</f>
        <v>0.8</v>
      </c>
      <c r="G95" s="168"/>
      <c r="H95" s="168" t="str">
        <f>'Toepassen op waterbodem'!G95</f>
        <v>toepasbaar</v>
      </c>
      <c r="I95" s="169"/>
    </row>
    <row r="96" spans="2:13" x14ac:dyDescent="0.25">
      <c r="B96" s="191" t="str">
        <f>'Toepassen op waterbodem'!B96</f>
        <v>Perfluordecaanzuur (PFDA)</v>
      </c>
      <c r="C96" s="168"/>
      <c r="D96" s="192">
        <f>'Toepassen op waterbodem'!D96</f>
        <v>0</v>
      </c>
      <c r="E96" s="168" t="str">
        <f>'Toepassen op waterbodem'!E96</f>
        <v>µg/kg ds</v>
      </c>
      <c r="F96" s="168">
        <f>'Toepassen op waterbodem'!F96</f>
        <v>0.8</v>
      </c>
      <c r="G96" s="168"/>
      <c r="H96" s="168" t="str">
        <f>'Toepassen op waterbodem'!G96</f>
        <v>toepasbaar</v>
      </c>
      <c r="I96" s="169"/>
    </row>
    <row r="97" spans="2:9" x14ac:dyDescent="0.25">
      <c r="B97" s="191" t="str">
        <f>'Toepassen op waterbodem'!B97</f>
        <v>Perfluorundecaanzuur (PFUnDA)</v>
      </c>
      <c r="C97" s="168"/>
      <c r="D97" s="192">
        <f>'Toepassen op waterbodem'!D97</f>
        <v>0</v>
      </c>
      <c r="E97" s="168" t="str">
        <f>'Toepassen op waterbodem'!E97</f>
        <v>µg/kg ds</v>
      </c>
      <c r="F97" s="168">
        <f>'Toepassen op waterbodem'!F97</f>
        <v>0.8</v>
      </c>
      <c r="G97" s="168"/>
      <c r="H97" s="168" t="str">
        <f>'Toepassen op waterbodem'!G97</f>
        <v>toepasbaar</v>
      </c>
      <c r="I97" s="169"/>
    </row>
    <row r="98" spans="2:9" x14ac:dyDescent="0.25">
      <c r="B98" s="191" t="str">
        <f>'Toepassen op waterbodem'!B98</f>
        <v>Perfluordodecaanzuur (PFDoDA)</v>
      </c>
      <c r="C98" s="168"/>
      <c r="D98" s="192">
        <f>'Toepassen op waterbodem'!D98</f>
        <v>0</v>
      </c>
      <c r="E98" s="168" t="str">
        <f>'Toepassen op waterbodem'!E98</f>
        <v>µg/kg ds</v>
      </c>
      <c r="F98" s="168">
        <f>'Toepassen op waterbodem'!F98</f>
        <v>0.8</v>
      </c>
      <c r="G98" s="168"/>
      <c r="H98" s="168" t="str">
        <f>'Toepassen op waterbodem'!G98</f>
        <v>toepasbaar</v>
      </c>
      <c r="I98" s="169"/>
    </row>
    <row r="99" spans="2:9" x14ac:dyDescent="0.25">
      <c r="B99" s="191" t="str">
        <f>'Toepassen op waterbodem'!B99</f>
        <v>Perfluortridecaanzuur (PFTrDA)</v>
      </c>
      <c r="C99" s="168"/>
      <c r="D99" s="192">
        <f>'Toepassen op waterbodem'!D99</f>
        <v>0</v>
      </c>
      <c r="E99" s="168" t="str">
        <f>'Toepassen op waterbodem'!E99</f>
        <v>µg/kg ds</v>
      </c>
      <c r="F99" s="168">
        <f>'Toepassen op waterbodem'!F99</f>
        <v>0.8</v>
      </c>
      <c r="G99" s="168"/>
      <c r="H99" s="168" t="str">
        <f>'Toepassen op waterbodem'!G99</f>
        <v>toepasbaar</v>
      </c>
      <c r="I99" s="169"/>
    </row>
    <row r="100" spans="2:9" x14ac:dyDescent="0.25">
      <c r="B100" s="191" t="str">
        <f>'Toepassen op waterbodem'!B100</f>
        <v>Perfluortetradecaanzuur (PFTeDA)</v>
      </c>
      <c r="C100" s="168"/>
      <c r="D100" s="192">
        <f>'Toepassen op waterbodem'!D100</f>
        <v>0</v>
      </c>
      <c r="E100" s="168" t="str">
        <f>'Toepassen op waterbodem'!E100</f>
        <v>µg/kg ds</v>
      </c>
      <c r="F100" s="168">
        <f>'Toepassen op waterbodem'!F100</f>
        <v>0.8</v>
      </c>
      <c r="G100" s="168"/>
      <c r="H100" s="168" t="str">
        <f>'Toepassen op waterbodem'!G100</f>
        <v>toepasbaar</v>
      </c>
      <c r="I100" s="169"/>
    </row>
    <row r="101" spans="2:9" x14ac:dyDescent="0.25">
      <c r="B101" s="191" t="str">
        <f>'Toepassen op waterbodem'!B101</f>
        <v>Perfluorhexaandecaanzuur (PFHxDA)</v>
      </c>
      <c r="C101" s="168"/>
      <c r="D101" s="192">
        <f>'Toepassen op waterbodem'!D101</f>
        <v>0</v>
      </c>
      <c r="E101" s="168" t="str">
        <f>'Toepassen op waterbodem'!E101</f>
        <v>µg/kg ds</v>
      </c>
      <c r="F101" s="168">
        <f>'Toepassen op waterbodem'!F101</f>
        <v>0.8</v>
      </c>
      <c r="G101" s="168"/>
      <c r="H101" s="168" t="str">
        <f>'Toepassen op waterbodem'!G101</f>
        <v>toepasbaar</v>
      </c>
      <c r="I101" s="169"/>
    </row>
    <row r="102" spans="2:9" x14ac:dyDescent="0.25">
      <c r="B102" s="191" t="str">
        <f>'Toepassen op waterbodem'!B102</f>
        <v>Perfluoroctadecaanzuur (PFODA)</v>
      </c>
      <c r="C102" s="168"/>
      <c r="D102" s="192">
        <f>'Toepassen op waterbodem'!D102</f>
        <v>0</v>
      </c>
      <c r="E102" s="168" t="str">
        <f>'Toepassen op waterbodem'!E102</f>
        <v>µg/kg ds</v>
      </c>
      <c r="F102" s="168">
        <f>'Toepassen op waterbodem'!F102</f>
        <v>0.8</v>
      </c>
      <c r="G102" s="168"/>
      <c r="H102" s="168" t="str">
        <f>'Toepassen op waterbodem'!G102</f>
        <v>toepasbaar</v>
      </c>
      <c r="I102" s="169"/>
    </row>
    <row r="103" spans="2:9" x14ac:dyDescent="0.25">
      <c r="B103" s="191" t="str">
        <f>'Toepassen op waterbodem'!B103</f>
        <v>Perfluorbutaansulfonzuur (PFBS)</v>
      </c>
      <c r="C103" s="168"/>
      <c r="D103" s="192">
        <f>'Toepassen op waterbodem'!D103</f>
        <v>0</v>
      </c>
      <c r="E103" s="168" t="str">
        <f>'Toepassen op waterbodem'!E103</f>
        <v>µg/kg ds</v>
      </c>
      <c r="F103" s="168">
        <f>'Toepassen op waterbodem'!F103</f>
        <v>0.8</v>
      </c>
      <c r="G103" s="168"/>
      <c r="H103" s="168" t="str">
        <f>'Toepassen op waterbodem'!G103</f>
        <v>toepasbaar</v>
      </c>
      <c r="I103" s="169"/>
    </row>
    <row r="104" spans="2:9" x14ac:dyDescent="0.25">
      <c r="B104" s="191" t="str">
        <f>'Toepassen op waterbodem'!B104</f>
        <v>Perfluorpentaansulfonzuur (PFPeS)</v>
      </c>
      <c r="C104" s="168"/>
      <c r="D104" s="192">
        <f>'Toepassen op waterbodem'!D104</f>
        <v>0</v>
      </c>
      <c r="E104" s="168" t="str">
        <f>'Toepassen op waterbodem'!E104</f>
        <v>µg/kg ds</v>
      </c>
      <c r="F104" s="168">
        <f>'Toepassen op waterbodem'!F104</f>
        <v>0.8</v>
      </c>
      <c r="G104" s="168"/>
      <c r="H104" s="168" t="str">
        <f>'Toepassen op waterbodem'!G104</f>
        <v>toepasbaar</v>
      </c>
      <c r="I104" s="169"/>
    </row>
    <row r="105" spans="2:9" x14ac:dyDescent="0.25">
      <c r="B105" s="191" t="str">
        <f>'Toepassen op waterbodem'!B105</f>
        <v>Perfluorhexaansulfonzuur (PFHxS)</v>
      </c>
      <c r="C105" s="168"/>
      <c r="D105" s="192">
        <f>'Toepassen op waterbodem'!D105</f>
        <v>0</v>
      </c>
      <c r="E105" s="168" t="str">
        <f>'Toepassen op waterbodem'!E105</f>
        <v>µg/kg ds</v>
      </c>
      <c r="F105" s="168">
        <f>'Toepassen op waterbodem'!F105</f>
        <v>0.8</v>
      </c>
      <c r="G105" s="168"/>
      <c r="H105" s="168" t="str">
        <f>'Toepassen op waterbodem'!G105</f>
        <v>toepasbaar</v>
      </c>
      <c r="I105" s="169"/>
    </row>
    <row r="106" spans="2:9" x14ac:dyDescent="0.25">
      <c r="B106" s="191" t="str">
        <f>'Toepassen op waterbodem'!B106</f>
        <v>Perfluorheptaansulfonzuur (PFHpS)</v>
      </c>
      <c r="C106" s="168"/>
      <c r="D106" s="192">
        <f>'Toepassen op waterbodem'!D106</f>
        <v>0</v>
      </c>
      <c r="E106" s="168" t="str">
        <f>'Toepassen op waterbodem'!E106</f>
        <v>µg/kg ds</v>
      </c>
      <c r="F106" s="168">
        <f>'Toepassen op waterbodem'!F106</f>
        <v>0.8</v>
      </c>
      <c r="G106" s="168"/>
      <c r="H106" s="168" t="str">
        <f>'Toepassen op waterbodem'!G106</f>
        <v>toepasbaar</v>
      </c>
      <c r="I106" s="169"/>
    </row>
    <row r="107" spans="2:9" x14ac:dyDescent="0.25">
      <c r="B107" s="191" t="str">
        <f>'Toepassen op waterbodem'!B107</f>
        <v>Perfluordecaansulfonzuur (PFDS)</v>
      </c>
      <c r="C107" s="168"/>
      <c r="D107" s="192">
        <f>'Toepassen op waterbodem'!D107</f>
        <v>0</v>
      </c>
      <c r="E107" s="168" t="str">
        <f>'Toepassen op waterbodem'!E107</f>
        <v>µg/kg ds</v>
      </c>
      <c r="F107" s="168">
        <f>'Toepassen op waterbodem'!F107</f>
        <v>0.8</v>
      </c>
      <c r="G107" s="168"/>
      <c r="H107" s="168" t="str">
        <f>'Toepassen op waterbodem'!G107</f>
        <v>toepasbaar</v>
      </c>
      <c r="I107" s="169"/>
    </row>
    <row r="108" spans="2:9" x14ac:dyDescent="0.25">
      <c r="B108" s="191" t="str">
        <f>'Toepassen op waterbodem'!B108</f>
        <v>4:2 fluortelomeer sulfonzuur (4:2FTS)</v>
      </c>
      <c r="C108" s="168"/>
      <c r="D108" s="192">
        <f>'Toepassen op waterbodem'!D108</f>
        <v>0</v>
      </c>
      <c r="E108" s="168" t="str">
        <f>'Toepassen op waterbodem'!E108</f>
        <v>µg/kg ds</v>
      </c>
      <c r="F108" s="168">
        <f>'Toepassen op waterbodem'!F108</f>
        <v>0.8</v>
      </c>
      <c r="G108" s="168"/>
      <c r="H108" s="168" t="str">
        <f>'Toepassen op waterbodem'!G108</f>
        <v>toepasbaar</v>
      </c>
      <c r="I108" s="169"/>
    </row>
    <row r="109" spans="2:9" x14ac:dyDescent="0.25">
      <c r="B109" s="191" t="str">
        <f>'Toepassen op waterbodem'!B109</f>
        <v>6:2 fluortelomeer sulfonzuur (6:2FTS)</v>
      </c>
      <c r="C109" s="168"/>
      <c r="D109" s="192">
        <f>'Toepassen op waterbodem'!D109</f>
        <v>0</v>
      </c>
      <c r="E109" s="168" t="str">
        <f>'Toepassen op waterbodem'!E109</f>
        <v>µg/kg ds</v>
      </c>
      <c r="F109" s="168">
        <f>'Toepassen op waterbodem'!F109</f>
        <v>0.8</v>
      </c>
      <c r="G109" s="168"/>
      <c r="H109" s="168" t="str">
        <f>'Toepassen op waterbodem'!G109</f>
        <v>toepasbaar</v>
      </c>
      <c r="I109" s="169"/>
    </row>
    <row r="110" spans="2:9" x14ac:dyDescent="0.25">
      <c r="B110" s="191" t="str">
        <f>'Toepassen op waterbodem'!B110</f>
        <v>8:2 fluortelomeer sulfonzuur (8:2FTS)</v>
      </c>
      <c r="C110" s="168"/>
      <c r="D110" s="192">
        <f>'Toepassen op waterbodem'!D110</f>
        <v>0</v>
      </c>
      <c r="E110" s="168" t="str">
        <f>'Toepassen op waterbodem'!E110</f>
        <v>µg/kg ds</v>
      </c>
      <c r="F110" s="168">
        <f>'Toepassen op waterbodem'!F110</f>
        <v>0.8</v>
      </c>
      <c r="G110" s="168"/>
      <c r="H110" s="168" t="str">
        <f>'Toepassen op waterbodem'!G110</f>
        <v>toepasbaar</v>
      </c>
      <c r="I110" s="169"/>
    </row>
    <row r="111" spans="2:9" x14ac:dyDescent="0.25">
      <c r="B111" s="191" t="str">
        <f>'Toepassen op waterbodem'!B111</f>
        <v>10:2 fluortelomeer sulfonzuur (10:2FTS)</v>
      </c>
      <c r="C111" s="168"/>
      <c r="D111" s="192">
        <f>'Toepassen op waterbodem'!D111</f>
        <v>0</v>
      </c>
      <c r="E111" s="168" t="str">
        <f>'Toepassen op waterbodem'!E111</f>
        <v>µg/kg ds</v>
      </c>
      <c r="F111" s="168">
        <f>'Toepassen op waterbodem'!F111</f>
        <v>0.8</v>
      </c>
      <c r="G111" s="168"/>
      <c r="H111" s="168" t="str">
        <f>'Toepassen op waterbodem'!G111</f>
        <v>toepasbaar</v>
      </c>
      <c r="I111" s="169"/>
    </row>
    <row r="112" spans="2:9" x14ac:dyDescent="0.25">
      <c r="B112" s="191" t="str">
        <f>'Toepassen op waterbodem'!B112</f>
        <v>Perfluoroctaansulfonamide (PFOSA)</v>
      </c>
      <c r="C112" s="168"/>
      <c r="D112" s="192">
        <f>'Toepassen op waterbodem'!D112</f>
        <v>0</v>
      </c>
      <c r="E112" s="168" t="str">
        <f>'Toepassen op waterbodem'!E112</f>
        <v>µg/kg ds</v>
      </c>
      <c r="F112" s="168">
        <f>'Toepassen op waterbodem'!F112</f>
        <v>0.8</v>
      </c>
      <c r="G112" s="168"/>
      <c r="H112" s="168" t="str">
        <f>'Toepassen op waterbodem'!G112</f>
        <v>toepasbaar</v>
      </c>
      <c r="I112" s="169"/>
    </row>
    <row r="113" spans="2:9" x14ac:dyDescent="0.25">
      <c r="B113" s="191" t="str">
        <f>'Toepassen op waterbodem'!B113</f>
        <v>N-methyl-perfluoroctaansulfonamide (N-MeFOSA)</v>
      </c>
      <c r="C113" s="168"/>
      <c r="D113" s="192">
        <f>'Toepassen op waterbodem'!D113</f>
        <v>0</v>
      </c>
      <c r="E113" s="168" t="str">
        <f>'Toepassen op waterbodem'!E113</f>
        <v>µg/kg ds</v>
      </c>
      <c r="F113" s="168">
        <f>'Toepassen op waterbodem'!F113</f>
        <v>0.8</v>
      </c>
      <c r="G113" s="168"/>
      <c r="H113" s="168" t="str">
        <f>'Toepassen op waterbodem'!G113</f>
        <v>toepasbaar</v>
      </c>
      <c r="I113" s="169"/>
    </row>
    <row r="114" spans="2:9" x14ac:dyDescent="0.25">
      <c r="B114" s="191" t="str">
        <f>'Toepassen op waterbodem'!B114</f>
        <v>N-methyl-perfluoroctaansulfonamide acetaat (N-MeFOSAA)</v>
      </c>
      <c r="C114" s="168"/>
      <c r="D114" s="192">
        <f>'Toepassen op waterbodem'!D114</f>
        <v>0</v>
      </c>
      <c r="E114" s="168" t="str">
        <f>'Toepassen op waterbodem'!E114</f>
        <v>µg/kg ds</v>
      </c>
      <c r="F114" s="168">
        <f>'Toepassen op waterbodem'!F114</f>
        <v>0.8</v>
      </c>
      <c r="G114" s="168"/>
      <c r="H114" s="168" t="str">
        <f>'Toepassen op waterbodem'!G114</f>
        <v>toepasbaar</v>
      </c>
      <c r="I114" s="169"/>
    </row>
    <row r="115" spans="2:9" x14ac:dyDescent="0.25">
      <c r="B115" s="191" t="str">
        <f>'Toepassen op waterbodem'!B115</f>
        <v>N-ethyl-perfluoroctaansulfonamide acetaat (N-EtFOSAA)</v>
      </c>
      <c r="C115" s="168"/>
      <c r="D115" s="192">
        <f>'Toepassen op waterbodem'!D115</f>
        <v>0</v>
      </c>
      <c r="E115" s="168" t="str">
        <f>'Toepassen op waterbodem'!E115</f>
        <v>µg/kg ds</v>
      </c>
      <c r="F115" s="168">
        <f>'Toepassen op waterbodem'!F115</f>
        <v>0.8</v>
      </c>
      <c r="G115" s="168"/>
      <c r="H115" s="168" t="str">
        <f>'Toepassen op waterbodem'!G115</f>
        <v>toepasbaar</v>
      </c>
      <c r="I115" s="169"/>
    </row>
    <row r="116" spans="2:9" x14ac:dyDescent="0.25">
      <c r="B116" s="191" t="str">
        <f>'Toepassen op waterbodem'!B116</f>
        <v>8:2 fluortelomeer fosfaat diester (8:2diPAP)</v>
      </c>
      <c r="C116" s="168"/>
      <c r="D116" s="192">
        <f>'Toepassen op waterbodem'!D116</f>
        <v>0</v>
      </c>
      <c r="E116" s="168" t="str">
        <f>'Toepassen op waterbodem'!E116</f>
        <v>µg/kg ds</v>
      </c>
      <c r="F116" s="168">
        <f>'Toepassen op waterbodem'!F116</f>
        <v>0.8</v>
      </c>
      <c r="G116" s="168"/>
      <c r="H116" s="168" t="str">
        <f>'Toepassen op waterbodem'!G116</f>
        <v>toepasbaar</v>
      </c>
      <c r="I116" s="169"/>
    </row>
    <row r="117" spans="2:9" hidden="1" x14ac:dyDescent="0.25">
      <c r="B117" s="191" t="e">
        <f>'Toepassen op waterbodem'!B117</f>
        <v>#REF!</v>
      </c>
      <c r="C117" s="168"/>
      <c r="D117" s="192" t="e">
        <f>'Toepassen op waterbodem'!D117</f>
        <v>#REF!</v>
      </c>
      <c r="E117" s="168" t="e">
        <f>'Toepassen op waterbodem'!E117</f>
        <v>#REF!</v>
      </c>
      <c r="F117" s="168"/>
      <c r="G117" s="168"/>
      <c r="H117" s="168"/>
      <c r="I117" s="169"/>
    </row>
    <row r="118" spans="2:9" hidden="1" x14ac:dyDescent="0.25">
      <c r="B118" s="191" t="e">
        <f>'Toepassen op waterbodem'!B118</f>
        <v>#REF!</v>
      </c>
      <c r="C118" s="168"/>
      <c r="D118" s="192" t="e">
        <f>'Toepassen op waterbodem'!D118</f>
        <v>#REF!</v>
      </c>
      <c r="E118" s="168" t="e">
        <f>'Toepassen op waterbodem'!E118</f>
        <v>#REF!</v>
      </c>
      <c r="F118" s="168"/>
      <c r="G118" s="168"/>
      <c r="H118" s="168"/>
      <c r="I118" s="169"/>
    </row>
    <row r="119" spans="2:9" x14ac:dyDescent="0.25">
      <c r="B119" s="191" t="str">
        <f>'Toepassen op waterbodem'!B119</f>
        <v>Som Perfluoroctaanzuur (PFOA) (factor 0,7)</v>
      </c>
      <c r="C119" s="168"/>
      <c r="D119" s="192">
        <f>'Toepassen op waterbodem'!D119</f>
        <v>0</v>
      </c>
      <c r="E119" s="168" t="str">
        <f>'Toepassen op waterbodem'!E119</f>
        <v>µg/kg ds</v>
      </c>
      <c r="F119" s="168">
        <f>'Toepassen op waterbodem'!F119</f>
        <v>0.8</v>
      </c>
      <c r="G119" s="168"/>
      <c r="H119" s="168" t="str">
        <f>'Toepassen op waterbodem'!G119</f>
        <v>toepasbaar</v>
      </c>
      <c r="I119" s="169"/>
    </row>
    <row r="120" spans="2:9" hidden="1" x14ac:dyDescent="0.25">
      <c r="B120" s="191" t="e">
        <f>'Toepassen op waterbodem'!B120</f>
        <v>#REF!</v>
      </c>
      <c r="C120" s="168"/>
      <c r="D120" s="192" t="e">
        <f>'Toepassen op waterbodem'!D120</f>
        <v>#REF!</v>
      </c>
      <c r="E120" s="168" t="e">
        <f>'Toepassen op waterbodem'!E120</f>
        <v>#REF!</v>
      </c>
      <c r="F120" s="168"/>
      <c r="G120" s="168"/>
      <c r="H120" s="168"/>
      <c r="I120" s="169"/>
    </row>
    <row r="121" spans="2:9" hidden="1" x14ac:dyDescent="0.25">
      <c r="B121" s="191" t="e">
        <f>'Toepassen op waterbodem'!B121</f>
        <v>#REF!</v>
      </c>
      <c r="C121" s="168"/>
      <c r="D121" s="192" t="e">
        <f>'Toepassen op waterbodem'!D121</f>
        <v>#REF!</v>
      </c>
      <c r="E121" s="168" t="e">
        <f>'Toepassen op waterbodem'!E121</f>
        <v>#REF!</v>
      </c>
      <c r="F121" s="168"/>
      <c r="G121" s="168"/>
      <c r="H121" s="168"/>
      <c r="I121" s="169"/>
    </row>
    <row r="122" spans="2:9" x14ac:dyDescent="0.25">
      <c r="B122" s="191" t="str">
        <f>'Toepassen op waterbodem'!B122</f>
        <v>Som Perfluoroctaansulfonzuur (PFOS) (factor 0,7)</v>
      </c>
      <c r="C122" s="168"/>
      <c r="D122" s="192">
        <f>'Toepassen op waterbodem'!D122</f>
        <v>0</v>
      </c>
      <c r="E122" s="168" t="str">
        <f>'Toepassen op waterbodem'!E122</f>
        <v>µg/kg ds</v>
      </c>
      <c r="F122" s="168">
        <f>'Toepassen op waterbodem'!F122</f>
        <v>3.7</v>
      </c>
      <c r="G122" s="168"/>
      <c r="H122" s="168" t="str">
        <f>'Toepassen op waterbodem'!G122</f>
        <v>toepasbaar</v>
      </c>
      <c r="I122" s="169"/>
    </row>
    <row r="123" spans="2:9" x14ac:dyDescent="0.25">
      <c r="B123" s="191" t="str">
        <f>'Toepassen op waterbodem'!B123</f>
        <v>GenX - 2,3,3,3-Tetrafluor-2-(Heptafluorpropoxy)Pro</v>
      </c>
      <c r="C123" s="168"/>
      <c r="D123" s="192">
        <f>'Toepassen op waterbodem'!D123</f>
        <v>0</v>
      </c>
      <c r="E123" s="168" t="str">
        <f>'Toepassen op waterbodem'!E123</f>
        <v>µg/kg ds</v>
      </c>
      <c r="F123" s="168">
        <f>'Toepassen op waterbodem'!F123</f>
        <v>0.8</v>
      </c>
      <c r="G123" s="168"/>
      <c r="H123" s="168" t="str">
        <f>'Toepassen op waterbodem'!G123</f>
        <v>toepasbaar</v>
      </c>
      <c r="I123" s="169"/>
    </row>
    <row r="124" spans="2:9" x14ac:dyDescent="0.25">
      <c r="B124" s="191"/>
      <c r="C124" s="168"/>
      <c r="D124" s="168"/>
      <c r="E124" s="168"/>
      <c r="F124" s="168"/>
      <c r="G124" s="168"/>
      <c r="H124" s="168"/>
      <c r="I124" s="169"/>
    </row>
    <row r="125" spans="2:9" ht="13.8" thickBot="1" x14ac:dyDescent="0.3">
      <c r="B125" s="189" t="str">
        <f>'Toepassen op waterbodem'!B125</f>
        <v>Eindoordeel</v>
      </c>
      <c r="C125" s="193"/>
      <c r="D125" s="193"/>
      <c r="E125" s="193"/>
      <c r="F125" s="193"/>
      <c r="G125" s="193"/>
      <c r="H125" s="184" t="str">
        <f>'Toepassen op waterbodem'!G125</f>
        <v>Wel toepasbaar</v>
      </c>
      <c r="I125" s="178"/>
    </row>
    <row r="126" spans="2:9" x14ac:dyDescent="0.25">
      <c r="B126" s="157"/>
      <c r="C126" s="168"/>
      <c r="D126" s="168"/>
      <c r="E126" s="168"/>
      <c r="F126" s="168"/>
      <c r="G126" s="168"/>
      <c r="H126" s="168"/>
    </row>
  </sheetData>
  <sheetProtection algorithmName="SHA-512" hashValue="iYSZfXL7zSnrAq8K4T+1jFW7kF82iEe8Bm+LKg/T/aD4doJbyO3fjT9PPM3Xn9WF1GVOm+r8ZF+PKt6nbQZpEw==" saltValue="TpChdYKMNY7MyRK6+bGs6A==" spinCount="100000" sheet="1" selectLockedCells="1" selectUnlockedCells="1"/>
  <mergeCells count="1">
    <mergeCell ref="F8:H8"/>
  </mergeCells>
  <conditionalFormatting sqref="C7:C85">
    <cfRule type="cellIs" dxfId="2" priority="2" operator="equal">
      <formula>0</formula>
    </cfRule>
  </conditionalFormatting>
  <conditionalFormatting sqref="C87:C89 C127:C1048576">
    <cfRule type="cellIs" dxfId="1" priority="1" operator="equal">
      <formula>0</formula>
    </cfRule>
  </conditionalFormatting>
  <pageMargins left="0.7" right="0.7" top="0.75" bottom="0.75" header="0.3" footer="0.3"/>
  <pageSetup paperSize="9" scale="43" orientation="portrait" r:id="rId1"/>
  <colBreaks count="1" manualBreakCount="1">
    <brk id="9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1D6A1-DC8D-417F-9FDA-FDF6EF5D11B7}">
  <sheetPr codeName="Sheet1"/>
  <dimension ref="B4:C93"/>
  <sheetViews>
    <sheetView topLeftCell="A70" workbookViewId="0">
      <selection activeCell="M96" sqref="M96"/>
    </sheetView>
  </sheetViews>
  <sheetFormatPr defaultRowHeight="13.2" x14ac:dyDescent="0.25"/>
  <sheetData>
    <row r="4" spans="2:3" x14ac:dyDescent="0.25">
      <c r="B4" s="1" t="s">
        <v>80</v>
      </c>
      <c r="C4" s="1">
        <v>51.996000000000002</v>
      </c>
    </row>
    <row r="5" spans="2:3" x14ac:dyDescent="0.25">
      <c r="B5" s="1" t="s">
        <v>81</v>
      </c>
      <c r="C5" s="1">
        <v>54.938000000000002</v>
      </c>
    </row>
    <row r="6" spans="2:3" x14ac:dyDescent="0.25">
      <c r="B6" s="1" t="s">
        <v>82</v>
      </c>
      <c r="C6" s="1">
        <v>55.844999999999999</v>
      </c>
    </row>
    <row r="7" spans="2:3" x14ac:dyDescent="0.25">
      <c r="B7" s="1" t="s">
        <v>83</v>
      </c>
      <c r="C7" s="1">
        <v>58.933</v>
      </c>
    </row>
    <row r="8" spans="2:3" x14ac:dyDescent="0.25">
      <c r="B8" s="1" t="s">
        <v>84</v>
      </c>
      <c r="C8" s="1">
        <v>58.963000000000001</v>
      </c>
    </row>
    <row r="9" spans="2:3" x14ac:dyDescent="0.25">
      <c r="B9" s="1" t="s">
        <v>85</v>
      </c>
      <c r="C9" s="1">
        <v>63.545999999999999</v>
      </c>
    </row>
    <row r="10" spans="2:3" x14ac:dyDescent="0.25">
      <c r="B10" s="1" t="s">
        <v>86</v>
      </c>
      <c r="C10" s="1">
        <v>65.38</v>
      </c>
    </row>
    <row r="11" spans="2:3" x14ac:dyDescent="0.25">
      <c r="B11" s="1" t="s">
        <v>87</v>
      </c>
      <c r="C11" s="1">
        <v>69.722999999999999</v>
      </c>
    </row>
    <row r="12" spans="2:3" x14ac:dyDescent="0.25">
      <c r="B12" s="1" t="s">
        <v>88</v>
      </c>
      <c r="C12" s="1">
        <v>72.64</v>
      </c>
    </row>
    <row r="13" spans="2:3" x14ac:dyDescent="0.25">
      <c r="B13" s="1" t="s">
        <v>89</v>
      </c>
      <c r="C13" s="1">
        <v>74.921999999999997</v>
      </c>
    </row>
    <row r="14" spans="2:3" x14ac:dyDescent="0.25">
      <c r="B14" s="1" t="s">
        <v>90</v>
      </c>
      <c r="C14" s="1">
        <v>78.959999999999994</v>
      </c>
    </row>
    <row r="15" spans="2:3" x14ac:dyDescent="0.25">
      <c r="B15" s="1" t="s">
        <v>91</v>
      </c>
      <c r="C15" s="1">
        <v>79.903999999999996</v>
      </c>
    </row>
    <row r="16" spans="2:3" x14ac:dyDescent="0.25">
      <c r="B16" s="1" t="s">
        <v>92</v>
      </c>
      <c r="C16" s="1">
        <v>83.798000000000002</v>
      </c>
    </row>
    <row r="17" spans="2:3" x14ac:dyDescent="0.25">
      <c r="B17" s="1" t="s">
        <v>93</v>
      </c>
      <c r="C17" s="1">
        <v>85.468000000000004</v>
      </c>
    </row>
    <row r="18" spans="2:3" x14ac:dyDescent="0.25">
      <c r="B18" s="1" t="s">
        <v>94</v>
      </c>
      <c r="C18" s="1">
        <v>87.62</v>
      </c>
    </row>
    <row r="19" spans="2:3" x14ac:dyDescent="0.25">
      <c r="B19" s="1" t="s">
        <v>95</v>
      </c>
      <c r="C19" s="1">
        <v>88.906000000000006</v>
      </c>
    </row>
    <row r="20" spans="2:3" x14ac:dyDescent="0.25">
      <c r="B20" s="1" t="s">
        <v>96</v>
      </c>
      <c r="C20" s="1">
        <v>91.224000000000004</v>
      </c>
    </row>
    <row r="21" spans="2:3" x14ac:dyDescent="0.25">
      <c r="B21" s="1" t="s">
        <v>97</v>
      </c>
      <c r="C21" s="1">
        <v>92.906000000000006</v>
      </c>
    </row>
    <row r="22" spans="2:3" x14ac:dyDescent="0.25">
      <c r="B22" s="1" t="s">
        <v>98</v>
      </c>
      <c r="C22" s="1">
        <v>95.96</v>
      </c>
    </row>
    <row r="23" spans="2:3" x14ac:dyDescent="0.25">
      <c r="B23" s="1" t="s">
        <v>99</v>
      </c>
      <c r="C23" s="1">
        <v>98</v>
      </c>
    </row>
    <row r="24" spans="2:3" x14ac:dyDescent="0.25">
      <c r="B24" s="1" t="s">
        <v>100</v>
      </c>
      <c r="C24" s="1">
        <v>101.07</v>
      </c>
    </row>
    <row r="25" spans="2:3" x14ac:dyDescent="0.25">
      <c r="B25" s="1" t="s">
        <v>101</v>
      </c>
      <c r="C25" s="1">
        <v>102.90600000000001</v>
      </c>
    </row>
    <row r="26" spans="2:3" x14ac:dyDescent="0.25">
      <c r="B26" s="1" t="s">
        <v>102</v>
      </c>
      <c r="C26" s="1">
        <v>106.42</v>
      </c>
    </row>
    <row r="27" spans="2:3" x14ac:dyDescent="0.25">
      <c r="B27" s="1" t="s">
        <v>103</v>
      </c>
      <c r="C27" s="1">
        <v>107.86799999999999</v>
      </c>
    </row>
    <row r="28" spans="2:3" x14ac:dyDescent="0.25">
      <c r="B28" s="1" t="s">
        <v>104</v>
      </c>
      <c r="C28" s="1">
        <v>112.441</v>
      </c>
    </row>
    <row r="29" spans="2:3" x14ac:dyDescent="0.25">
      <c r="B29" s="1" t="s">
        <v>105</v>
      </c>
      <c r="C29" s="1">
        <v>114.818</v>
      </c>
    </row>
    <row r="30" spans="2:3" x14ac:dyDescent="0.25">
      <c r="B30" s="1" t="s">
        <v>106</v>
      </c>
      <c r="C30" s="1">
        <v>118.71</v>
      </c>
    </row>
    <row r="31" spans="2:3" x14ac:dyDescent="0.25">
      <c r="B31" s="1" t="s">
        <v>107</v>
      </c>
      <c r="C31" s="1">
        <v>121.76</v>
      </c>
    </row>
    <row r="32" spans="2:3" x14ac:dyDescent="0.25">
      <c r="B32" s="1" t="s">
        <v>108</v>
      </c>
      <c r="C32" s="1">
        <v>127.6</v>
      </c>
    </row>
    <row r="33" spans="2:3" x14ac:dyDescent="0.25">
      <c r="B33" s="1" t="s">
        <v>109</v>
      </c>
      <c r="C33" s="1">
        <v>126.904</v>
      </c>
    </row>
    <row r="34" spans="2:3" x14ac:dyDescent="0.25">
      <c r="B34" s="1" t="s">
        <v>110</v>
      </c>
      <c r="C34" s="1">
        <v>131.29300000000001</v>
      </c>
    </row>
    <row r="35" spans="2:3" x14ac:dyDescent="0.25">
      <c r="B35" s="1" t="s">
        <v>111</v>
      </c>
      <c r="C35" s="1">
        <v>132.905</v>
      </c>
    </row>
    <row r="36" spans="2:3" x14ac:dyDescent="0.25">
      <c r="B36" s="1" t="s">
        <v>112</v>
      </c>
      <c r="C36" s="1">
        <v>137.327</v>
      </c>
    </row>
    <row r="37" spans="2:3" x14ac:dyDescent="0.25">
      <c r="B37" s="1" t="s">
        <v>113</v>
      </c>
      <c r="C37" s="1">
        <v>174.96700000000001</v>
      </c>
    </row>
    <row r="38" spans="2:3" x14ac:dyDescent="0.25">
      <c r="B38" s="1" t="s">
        <v>114</v>
      </c>
      <c r="C38" s="1">
        <v>178.49</v>
      </c>
    </row>
    <row r="39" spans="2:3" x14ac:dyDescent="0.25">
      <c r="B39" s="1" t="s">
        <v>115</v>
      </c>
      <c r="C39" s="1">
        <v>180.94800000000001</v>
      </c>
    </row>
    <row r="40" spans="2:3" x14ac:dyDescent="0.25">
      <c r="B40" s="1" t="s">
        <v>116</v>
      </c>
      <c r="C40" s="1">
        <v>183.84</v>
      </c>
    </row>
    <row r="41" spans="2:3" x14ac:dyDescent="0.25">
      <c r="B41" s="1" t="s">
        <v>117</v>
      </c>
      <c r="C41" s="1">
        <v>186.20699999999999</v>
      </c>
    </row>
    <row r="42" spans="2:3" x14ac:dyDescent="0.25">
      <c r="B42" s="1" t="s">
        <v>118</v>
      </c>
      <c r="C42" s="1">
        <v>190.23</v>
      </c>
    </row>
    <row r="43" spans="2:3" x14ac:dyDescent="0.25">
      <c r="B43" s="1" t="s">
        <v>119</v>
      </c>
      <c r="C43" s="1">
        <v>192.21700000000001</v>
      </c>
    </row>
    <row r="44" spans="2:3" x14ac:dyDescent="0.25">
      <c r="B44" s="1" t="s">
        <v>120</v>
      </c>
      <c r="C44" s="1">
        <v>195.084</v>
      </c>
    </row>
    <row r="45" spans="2:3" x14ac:dyDescent="0.25">
      <c r="B45" s="1" t="s">
        <v>121</v>
      </c>
      <c r="C45" s="1">
        <v>196.96700000000001</v>
      </c>
    </row>
    <row r="46" spans="2:3" x14ac:dyDescent="0.25">
      <c r="B46" s="1" t="s">
        <v>122</v>
      </c>
      <c r="C46" s="1">
        <v>200.59</v>
      </c>
    </row>
    <row r="47" spans="2:3" x14ac:dyDescent="0.25">
      <c r="B47" s="1" t="s">
        <v>123</v>
      </c>
      <c r="C47" s="1">
        <v>204.38300000000001</v>
      </c>
    </row>
    <row r="48" spans="2:3" x14ac:dyDescent="0.25">
      <c r="B48" s="1" t="s">
        <v>102</v>
      </c>
      <c r="C48" s="1">
        <v>207.2</v>
      </c>
    </row>
    <row r="49" spans="2:3" x14ac:dyDescent="0.25">
      <c r="B49" s="1" t="s">
        <v>124</v>
      </c>
      <c r="C49" s="1">
        <v>208.98</v>
      </c>
    </row>
    <row r="50" spans="2:3" x14ac:dyDescent="0.25">
      <c r="B50" s="1" t="s">
        <v>125</v>
      </c>
      <c r="C50" s="1">
        <v>210</v>
      </c>
    </row>
    <row r="51" spans="2:3" x14ac:dyDescent="0.25">
      <c r="B51" s="1" t="s">
        <v>126</v>
      </c>
      <c r="C51" s="1">
        <v>210</v>
      </c>
    </row>
    <row r="52" spans="2:3" x14ac:dyDescent="0.25">
      <c r="B52" s="1" t="s">
        <v>127</v>
      </c>
      <c r="C52" s="1">
        <v>220</v>
      </c>
    </row>
    <row r="53" spans="2:3" x14ac:dyDescent="0.25">
      <c r="B53" s="1" t="s">
        <v>128</v>
      </c>
      <c r="C53" s="1">
        <v>223</v>
      </c>
    </row>
    <row r="54" spans="2:3" x14ac:dyDescent="0.25">
      <c r="B54" s="1" t="s">
        <v>129</v>
      </c>
      <c r="C54" s="1">
        <v>226</v>
      </c>
    </row>
    <row r="55" spans="2:3" x14ac:dyDescent="0.25">
      <c r="B55" s="1" t="s">
        <v>130</v>
      </c>
      <c r="C55" s="1">
        <v>262</v>
      </c>
    </row>
    <row r="56" spans="2:3" x14ac:dyDescent="0.25">
      <c r="B56" s="1" t="s">
        <v>131</v>
      </c>
      <c r="C56" s="1">
        <v>261</v>
      </c>
    </row>
    <row r="57" spans="2:3" x14ac:dyDescent="0.25">
      <c r="B57" s="1" t="s">
        <v>132</v>
      </c>
      <c r="C57" s="1">
        <v>262</v>
      </c>
    </row>
    <row r="58" spans="2:3" x14ac:dyDescent="0.25">
      <c r="B58" s="1" t="s">
        <v>133</v>
      </c>
      <c r="C58" s="1">
        <v>266</v>
      </c>
    </row>
    <row r="59" spans="2:3" x14ac:dyDescent="0.25">
      <c r="B59" s="1" t="s">
        <v>134</v>
      </c>
      <c r="C59" s="1">
        <v>264</v>
      </c>
    </row>
    <row r="60" spans="2:3" x14ac:dyDescent="0.25">
      <c r="B60" s="1" t="s">
        <v>135</v>
      </c>
      <c r="C60" s="1">
        <v>277</v>
      </c>
    </row>
    <row r="61" spans="2:3" x14ac:dyDescent="0.25">
      <c r="B61" s="1" t="s">
        <v>136</v>
      </c>
      <c r="C61" s="1">
        <v>268</v>
      </c>
    </row>
    <row r="62" spans="2:3" x14ac:dyDescent="0.25">
      <c r="B62" s="1" t="s">
        <v>137</v>
      </c>
      <c r="C62" s="1">
        <v>271</v>
      </c>
    </row>
    <row r="63" spans="2:3" x14ac:dyDescent="0.25">
      <c r="B63" s="1" t="s">
        <v>138</v>
      </c>
      <c r="C63" s="1">
        <v>272</v>
      </c>
    </row>
    <row r="64" spans="2:3" x14ac:dyDescent="0.25">
      <c r="B64" s="1" t="s">
        <v>139</v>
      </c>
      <c r="C64" s="1">
        <v>285</v>
      </c>
    </row>
    <row r="65" spans="2:3" x14ac:dyDescent="0.25">
      <c r="B65" s="1" t="s">
        <v>76</v>
      </c>
      <c r="C65" s="1">
        <v>40.078000000000003</v>
      </c>
    </row>
    <row r="66" spans="2:3" x14ac:dyDescent="0.25">
      <c r="B66" s="1" t="s">
        <v>77</v>
      </c>
      <c r="C66" s="1">
        <v>44.956000000000003</v>
      </c>
    </row>
    <row r="67" spans="2:3" x14ac:dyDescent="0.25">
      <c r="B67" s="1" t="s">
        <v>78</v>
      </c>
      <c r="C67" s="1">
        <v>47.866999999999997</v>
      </c>
    </row>
    <row r="68" spans="2:3" x14ac:dyDescent="0.25">
      <c r="B68" s="1" t="s">
        <v>79</v>
      </c>
      <c r="C68" s="1">
        <v>50.942</v>
      </c>
    </row>
    <row r="69" spans="2:3" x14ac:dyDescent="0.25">
      <c r="B69" s="1" t="s">
        <v>62</v>
      </c>
      <c r="C69" s="1">
        <v>12.010999999999999</v>
      </c>
    </row>
    <row r="70" spans="2:3" x14ac:dyDescent="0.25">
      <c r="B70" s="1" t="s">
        <v>63</v>
      </c>
      <c r="C70" s="1">
        <v>14.007</v>
      </c>
    </row>
    <row r="71" spans="2:3" x14ac:dyDescent="0.25">
      <c r="B71" s="1" t="s">
        <v>64</v>
      </c>
      <c r="C71" s="1">
        <v>15.999000000000001</v>
      </c>
    </row>
    <row r="72" spans="2:3" x14ac:dyDescent="0.25">
      <c r="B72" s="1" t="s">
        <v>65</v>
      </c>
      <c r="C72" s="1">
        <v>18.998000000000001</v>
      </c>
    </row>
    <row r="73" spans="2:3" x14ac:dyDescent="0.25">
      <c r="B73" s="1" t="s">
        <v>66</v>
      </c>
      <c r="C73" s="1">
        <v>20.18</v>
      </c>
    </row>
    <row r="74" spans="2:3" x14ac:dyDescent="0.25">
      <c r="B74" s="1" t="s">
        <v>67</v>
      </c>
      <c r="C74" s="1">
        <v>22.99</v>
      </c>
    </row>
    <row r="75" spans="2:3" x14ac:dyDescent="0.25">
      <c r="B75" s="1" t="s">
        <v>68</v>
      </c>
      <c r="C75" s="1">
        <v>24.305</v>
      </c>
    </row>
    <row r="76" spans="2:3" x14ac:dyDescent="0.25">
      <c r="B76" s="1" t="s">
        <v>69</v>
      </c>
      <c r="C76" s="1">
        <v>26.981999999999999</v>
      </c>
    </row>
    <row r="77" spans="2:3" x14ac:dyDescent="0.25">
      <c r="B77" s="1" t="s">
        <v>70</v>
      </c>
      <c r="C77" s="1">
        <v>28.085999999999999</v>
      </c>
    </row>
    <row r="78" spans="2:3" x14ac:dyDescent="0.25">
      <c r="B78" s="1" t="s">
        <v>71</v>
      </c>
      <c r="C78" s="1">
        <v>30.977</v>
      </c>
    </row>
    <row r="79" spans="2:3" x14ac:dyDescent="0.25">
      <c r="B79" s="1" t="s">
        <v>72</v>
      </c>
      <c r="C79" s="1">
        <v>32.064999999999998</v>
      </c>
    </row>
    <row r="80" spans="2:3" x14ac:dyDescent="0.25">
      <c r="B80" s="1" t="s">
        <v>73</v>
      </c>
      <c r="C80" s="1">
        <v>35.453000000000003</v>
      </c>
    </row>
    <row r="81" spans="2:3" x14ac:dyDescent="0.25">
      <c r="B81" s="1" t="s">
        <v>74</v>
      </c>
      <c r="C81" s="1">
        <v>39.948</v>
      </c>
    </row>
    <row r="82" spans="2:3" x14ac:dyDescent="0.25">
      <c r="B82" s="1" t="s">
        <v>75</v>
      </c>
      <c r="C82" s="1">
        <v>39.097999999999999</v>
      </c>
    </row>
    <row r="83" spans="2:3" x14ac:dyDescent="0.25">
      <c r="B83" s="1" t="s">
        <v>76</v>
      </c>
      <c r="C83" s="1">
        <v>40.078000000000003</v>
      </c>
    </row>
    <row r="84" spans="2:3" x14ac:dyDescent="0.25">
      <c r="B84" s="1" t="s">
        <v>77</v>
      </c>
      <c r="C84" s="1">
        <v>44.956000000000003</v>
      </c>
    </row>
    <row r="85" spans="2:3" x14ac:dyDescent="0.25">
      <c r="B85" s="1" t="s">
        <v>78</v>
      </c>
      <c r="C85" s="1">
        <v>47.866999999999997</v>
      </c>
    </row>
    <row r="86" spans="2:3" x14ac:dyDescent="0.25">
      <c r="B86" s="1" t="s">
        <v>76</v>
      </c>
      <c r="C86" s="1">
        <v>40.078000000000003</v>
      </c>
    </row>
    <row r="87" spans="2:3" x14ac:dyDescent="0.25">
      <c r="B87" s="1" t="s">
        <v>77</v>
      </c>
      <c r="C87" s="1">
        <v>44.956000000000003</v>
      </c>
    </row>
    <row r="88" spans="2:3" x14ac:dyDescent="0.25">
      <c r="B88" s="1" t="s">
        <v>78</v>
      </c>
      <c r="C88" s="1">
        <v>47.866999999999997</v>
      </c>
    </row>
    <row r="89" spans="2:3" x14ac:dyDescent="0.25">
      <c r="B89" s="1" t="s">
        <v>57</v>
      </c>
      <c r="C89" s="1">
        <v>1.008</v>
      </c>
    </row>
    <row r="90" spans="2:3" x14ac:dyDescent="0.25">
      <c r="B90" s="1" t="s">
        <v>58</v>
      </c>
      <c r="C90" s="1">
        <v>4.0030000000000001</v>
      </c>
    </row>
    <row r="91" spans="2:3" x14ac:dyDescent="0.25">
      <c r="B91" s="1" t="s">
        <v>59</v>
      </c>
      <c r="C91" s="1">
        <v>6.9409999999999998</v>
      </c>
    </row>
    <row r="92" spans="2:3" x14ac:dyDescent="0.25">
      <c r="B92" s="1" t="s">
        <v>60</v>
      </c>
      <c r="C92" s="1">
        <v>9.0120000000000005</v>
      </c>
    </row>
    <row r="93" spans="2:3" x14ac:dyDescent="0.25">
      <c r="B93" s="1" t="s">
        <v>61</v>
      </c>
      <c r="C93" s="1">
        <v>10.811</v>
      </c>
    </row>
  </sheetData>
  <sheetProtection algorithmName="SHA-512" hashValue="pLotbDUpFF9Ea6cCqHyWOlgZy1znK9BBQ3P23obEi6/Jn87lfHJAkDzYKjXQ77TJfR3hIWPYxb7pFEU4aG8e+g==" saltValue="qE17GlJijxPoBeUrDQzhpg==" spinCount="100000" sheet="1" selectLockedCells="1" selectUnlockedCell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211512-5604-45A0-A750-CDDB5B126904}">
  <sheetPr codeName="Sheet2"/>
  <dimension ref="B3:H20"/>
  <sheetViews>
    <sheetView workbookViewId="0">
      <selection activeCell="C9" sqref="C9"/>
    </sheetView>
  </sheetViews>
  <sheetFormatPr defaultRowHeight="13.2" x14ac:dyDescent="0.25"/>
  <cols>
    <col min="13" max="13" width="12.33203125" bestFit="1" customWidth="1"/>
  </cols>
  <sheetData>
    <row r="3" spans="2:8" x14ac:dyDescent="0.25">
      <c r="C3">
        <v>1000</v>
      </c>
      <c r="D3" t="s">
        <v>203</v>
      </c>
      <c r="G3">
        <v>1000</v>
      </c>
      <c r="H3" t="s">
        <v>204</v>
      </c>
    </row>
    <row r="4" spans="2:8" x14ac:dyDescent="0.25">
      <c r="B4" t="s">
        <v>202</v>
      </c>
      <c r="C4">
        <v>0.5</v>
      </c>
      <c r="D4" t="s">
        <v>208</v>
      </c>
      <c r="G4">
        <f>G3/1000000</f>
        <v>1E-3</v>
      </c>
      <c r="H4" t="s">
        <v>206</v>
      </c>
    </row>
    <row r="5" spans="2:8" x14ac:dyDescent="0.25">
      <c r="C5">
        <v>2500</v>
      </c>
      <c r="D5" t="s">
        <v>201</v>
      </c>
      <c r="E5" t="s">
        <v>209</v>
      </c>
      <c r="G5">
        <f>G4*100</f>
        <v>0.1</v>
      </c>
      <c r="H5" t="s">
        <v>205</v>
      </c>
    </row>
    <row r="6" spans="2:8" x14ac:dyDescent="0.25">
      <c r="C6">
        <v>1000</v>
      </c>
      <c r="D6" t="s">
        <v>201</v>
      </c>
      <c r="E6" t="s">
        <v>207</v>
      </c>
    </row>
    <row r="13" spans="2:8" x14ac:dyDescent="0.25">
      <c r="B13" t="s">
        <v>212</v>
      </c>
      <c r="D13">
        <f>(D14*D15+G14*G15)/(D14*D15)</f>
        <v>1.2142857142857142</v>
      </c>
    </row>
    <row r="14" spans="2:8" x14ac:dyDescent="0.25">
      <c r="C14" t="s">
        <v>210</v>
      </c>
      <c r="D14">
        <v>2000</v>
      </c>
      <c r="E14" t="s">
        <v>201</v>
      </c>
      <c r="F14" t="s">
        <v>211</v>
      </c>
      <c r="G14">
        <v>1000</v>
      </c>
      <c r="H14" t="s">
        <v>201</v>
      </c>
    </row>
    <row r="15" spans="2:8" x14ac:dyDescent="0.25">
      <c r="D15">
        <v>0.7</v>
      </c>
      <c r="E15" t="s">
        <v>208</v>
      </c>
      <c r="G15">
        <v>0.3</v>
      </c>
      <c r="H15" t="s">
        <v>208</v>
      </c>
    </row>
    <row r="20" spans="5:5" x14ac:dyDescent="0.25">
      <c r="E20" t="s">
        <v>289</v>
      </c>
    </row>
  </sheetData>
  <sheetProtection algorithmName="SHA-512" hashValue="yxvTp/3l0ZfgJJ0lvwqq0gWA1V6LOh1ZDZYH0axjLZBf4GpuWoEe+OjLhgNx8U2A8nX2tap2lYwrbBjrqIU2VQ==" saltValue="XdPfR8XkrGTUtVMdsVktvA==" spinCount="100000" sheet="1" objects="1" scenarios="1" selectLockedCells="1" selectUnlockedCell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A23D70-A794-497D-BFFD-6EC20620B65F}">
  <sheetPr>
    <pageSetUpPr fitToPage="1"/>
  </sheetPr>
  <dimension ref="B2:AJ123"/>
  <sheetViews>
    <sheetView topLeftCell="A2" zoomScale="70" zoomScaleNormal="70" workbookViewId="0">
      <selection activeCell="J34" sqref="J34"/>
    </sheetView>
  </sheetViews>
  <sheetFormatPr defaultRowHeight="13.2" x14ac:dyDescent="0.25"/>
  <cols>
    <col min="2" max="2" width="42.21875" customWidth="1"/>
    <col min="3" max="3" width="15.77734375" bestFit="1" customWidth="1"/>
    <col min="4" max="4" width="8.88671875" customWidth="1"/>
    <col min="5" max="5" width="13.88671875" hidden="1" customWidth="1"/>
    <col min="6" max="6" width="16" hidden="1" customWidth="1"/>
    <col min="7" max="7" width="12.5546875" hidden="1" customWidth="1"/>
    <col min="8" max="8" width="28.88671875" hidden="1" customWidth="1"/>
    <col min="9" max="10" width="26.88671875" customWidth="1"/>
    <col min="11" max="12" width="8.88671875" customWidth="1"/>
  </cols>
  <sheetData>
    <row r="2" spans="2:36" x14ac:dyDescent="0.25">
      <c r="B2" t="str">
        <f>EURAL!B2</f>
        <v>Type afval:</v>
      </c>
      <c r="H2">
        <f>EURAL!E2</f>
        <v>0</v>
      </c>
    </row>
    <row r="3" spans="2:36" x14ac:dyDescent="0.25">
      <c r="B3" t="str">
        <f>EURAL!B3</f>
        <v>Rapportage kenmerk:</v>
      </c>
      <c r="H3">
        <f>EURAL!E3</f>
        <v>0</v>
      </c>
    </row>
    <row r="4" spans="2:36" x14ac:dyDescent="0.25">
      <c r="B4" t="str">
        <f>EURAL!B5</f>
        <v>Datum baggertoetsformulier:</v>
      </c>
      <c r="H4" s="156">
        <f ca="1">EURAL!E5</f>
        <v>46041</v>
      </c>
    </row>
    <row r="6" spans="2:36" x14ac:dyDescent="0.25">
      <c r="H6" s="142">
        <f>EURAL!E7</f>
        <v>0</v>
      </c>
    </row>
    <row r="7" spans="2:36" x14ac:dyDescent="0.25">
      <c r="B7" t="str">
        <f>EURAL!B8</f>
        <v>Soortelijk gewicht baggerspecie</v>
      </c>
      <c r="D7">
        <f>EURAL!D8</f>
        <v>1200</v>
      </c>
      <c r="H7">
        <f>EURAL!E8</f>
        <v>0</v>
      </c>
    </row>
    <row r="8" spans="2:36" x14ac:dyDescent="0.25">
      <c r="B8" t="str">
        <f>EURAL!B9</f>
        <v>Gewichtspercentage water</v>
      </c>
      <c r="D8">
        <f>EURAL!D9</f>
        <v>60</v>
      </c>
      <c r="H8">
        <f>EURAL!E9</f>
        <v>0</v>
      </c>
    </row>
    <row r="9" spans="2:36" x14ac:dyDescent="0.25">
      <c r="B9" t="str">
        <f>EURAL!B10</f>
        <v>Correctiefactor</v>
      </c>
      <c r="D9">
        <f>EURAL!D10</f>
        <v>2.25</v>
      </c>
    </row>
    <row r="11" spans="2:36" s="1" customFormat="1" x14ac:dyDescent="0.25">
      <c r="B11"/>
      <c r="C11"/>
      <c r="D11" t="str">
        <f>EURAL!D12</f>
        <v>Percentage</v>
      </c>
      <c r="E11"/>
      <c r="F11"/>
      <c r="G11"/>
      <c r="H11" t="str">
        <f>EURAL!E12</f>
        <v>Eenheid</v>
      </c>
      <c r="I11" s="135"/>
      <c r="J11" s="135"/>
      <c r="K11" s="135"/>
      <c r="L11" s="135"/>
      <c r="M11" s="135"/>
      <c r="N11" s="135"/>
      <c r="O11" s="135"/>
      <c r="P11" s="135"/>
      <c r="Q11" s="135"/>
      <c r="R11" s="135"/>
      <c r="S11" s="135"/>
      <c r="T11" s="135"/>
      <c r="U11" s="135"/>
      <c r="V11" s="135"/>
      <c r="W11" s="135"/>
      <c r="X11" s="135"/>
      <c r="Y11" s="135"/>
      <c r="AI11" s="142"/>
      <c r="AJ11" s="14"/>
    </row>
    <row r="12" spans="2:36" s="1" customFormat="1" x14ac:dyDescent="0.25">
      <c r="B12" t="str">
        <f>EURAL!B13</f>
        <v>Lutum</v>
      </c>
      <c r="C12"/>
      <c r="D12">
        <f>Invoertabblad!E14</f>
        <v>0</v>
      </c>
      <c r="E12"/>
      <c r="F12"/>
      <c r="G12"/>
      <c r="H12">
        <f>EURAL!E13</f>
        <v>0</v>
      </c>
      <c r="I12" s="135"/>
      <c r="J12" s="135"/>
      <c r="K12" s="135"/>
      <c r="L12" s="135"/>
      <c r="M12" s="135"/>
      <c r="N12" s="135"/>
      <c r="O12" s="135"/>
      <c r="P12" s="135"/>
      <c r="Q12" s="135"/>
      <c r="R12" s="135"/>
      <c r="S12" s="135"/>
      <c r="T12" s="135"/>
      <c r="U12" s="135"/>
      <c r="V12" s="135"/>
      <c r="W12" s="135"/>
      <c r="X12" s="135"/>
      <c r="Y12" s="135"/>
      <c r="AI12" s="142"/>
      <c r="AJ12" s="14"/>
    </row>
    <row r="13" spans="2:36" s="1" customFormat="1" x14ac:dyDescent="0.25">
      <c r="B13" t="str">
        <f>EURAL!B14</f>
        <v>Organisch stof</v>
      </c>
      <c r="C13"/>
      <c r="D13">
        <f>Invoertabblad!E15</f>
        <v>0</v>
      </c>
      <c r="E13"/>
      <c r="F13"/>
      <c r="G13"/>
      <c r="H13">
        <f>EURAL!E14</f>
        <v>0</v>
      </c>
      <c r="I13" s="135"/>
      <c r="J13" s="135"/>
      <c r="K13" s="135"/>
      <c r="L13" s="135"/>
      <c r="M13" s="135"/>
      <c r="N13" s="135"/>
      <c r="O13" s="135"/>
      <c r="P13" s="135"/>
      <c r="Q13" s="135"/>
      <c r="R13" s="135"/>
      <c r="S13" s="135"/>
      <c r="T13" s="135"/>
      <c r="U13" s="135"/>
      <c r="V13" s="135"/>
      <c r="W13" s="135"/>
      <c r="X13" s="135"/>
      <c r="Y13" s="135"/>
      <c r="AI13" s="142"/>
      <c r="AJ13" s="14"/>
    </row>
    <row r="15" spans="2:36" x14ac:dyDescent="0.25">
      <c r="B15" s="25" t="str">
        <f>EURAL!B16</f>
        <v>Metalen</v>
      </c>
      <c r="C15" s="25" t="s">
        <v>454</v>
      </c>
      <c r="D15" s="25" t="str">
        <f>EURAL!D16</f>
        <v>Gehalte</v>
      </c>
      <c r="E15" s="25"/>
      <c r="F15" s="25"/>
      <c r="G15" s="25"/>
      <c r="H15" s="25" t="str">
        <f>EURAL!E16</f>
        <v>Eenheid</v>
      </c>
      <c r="I15" s="25" t="s">
        <v>428</v>
      </c>
      <c r="J15" s="25"/>
      <c r="K15" s="25" t="str">
        <f>H15</f>
        <v>Eenheid</v>
      </c>
      <c r="L15" s="25"/>
      <c r="M15" s="25" t="s">
        <v>429</v>
      </c>
      <c r="N15" s="25" t="s">
        <v>61</v>
      </c>
      <c r="O15" s="25" t="s">
        <v>62</v>
      </c>
      <c r="P15" s="25" t="s">
        <v>430</v>
      </c>
      <c r="Q15" s="25"/>
      <c r="R15" s="25" t="s">
        <v>431</v>
      </c>
    </row>
    <row r="16" spans="2:36" x14ac:dyDescent="0.25">
      <c r="B16" t="str">
        <f>Invoertabblad!B18</f>
        <v>Arseen (As)</v>
      </c>
      <c r="C16">
        <f>Invoertabblad!D18</f>
        <v>0</v>
      </c>
      <c r="D16">
        <f>Invoertabblad!E18</f>
        <v>0</v>
      </c>
      <c r="E16" t="b">
        <f>IF(C16="&lt;",SUM(D16*0.7))</f>
        <v>0</v>
      </c>
      <c r="F16">
        <f>IF(E16="ONWAAR",D16,D16)</f>
        <v>0</v>
      </c>
      <c r="G16">
        <f>IF(C16="&lt;",E16,F16)</f>
        <v>0</v>
      </c>
      <c r="H16" s="135" t="s">
        <v>203</v>
      </c>
      <c r="I16" s="158">
        <f>G16*(((M16+N16*25)+(O16*10))/((M16+N16*P16)+(O16*R16)))</f>
        <v>0</v>
      </c>
      <c r="J16" s="158"/>
      <c r="K16" t="str">
        <f t="shared" ref="K16:K48" si="0">H16</f>
        <v>mg/kg ds</v>
      </c>
      <c r="M16">
        <v>15</v>
      </c>
      <c r="N16">
        <v>0.4</v>
      </c>
      <c r="O16">
        <v>0.4</v>
      </c>
      <c r="P16">
        <f>MAX($D$12,2)</f>
        <v>2</v>
      </c>
      <c r="R16">
        <f>MAX($D$13,2)</f>
        <v>2</v>
      </c>
    </row>
    <row r="17" spans="2:18" x14ac:dyDescent="0.25">
      <c r="B17" t="str">
        <f>Invoertabblad!B26</f>
        <v>Barium (Ba)</v>
      </c>
      <c r="C17">
        <f>Invoertabblad!D26</f>
        <v>0</v>
      </c>
      <c r="D17">
        <f>Invoertabblad!E26</f>
        <v>0</v>
      </c>
      <c r="E17" t="b">
        <f>IF(C17="&lt;",SUM(D17*0.7))</f>
        <v>0</v>
      </c>
      <c r="F17">
        <f>IF(E17="ONWAAR",D17,D17)</f>
        <v>0</v>
      </c>
      <c r="G17">
        <f>IF(C17="&lt;",E17,F17)</f>
        <v>0</v>
      </c>
      <c r="H17" s="135" t="s">
        <v>203</v>
      </c>
      <c r="I17" s="158">
        <f t="shared" ref="I17:I26" si="1">G17*(((M17+N17*25)+(O17*10))/((M17+N17*P17)+(O17*R17)))</f>
        <v>0</v>
      </c>
      <c r="J17" s="158"/>
      <c r="K17" t="str">
        <f t="shared" si="0"/>
        <v>mg/kg ds</v>
      </c>
      <c r="M17">
        <v>30</v>
      </c>
      <c r="N17">
        <v>5</v>
      </c>
      <c r="O17">
        <v>0</v>
      </c>
      <c r="P17">
        <f t="shared" ref="P17:P26" si="2">MAX($D$12,2)</f>
        <v>2</v>
      </c>
      <c r="R17">
        <f t="shared" ref="R17:R26" si="3">MAX($D$13,2)</f>
        <v>2</v>
      </c>
    </row>
    <row r="18" spans="2:18" x14ac:dyDescent="0.25">
      <c r="B18" t="str">
        <f>Invoertabblad!B19</f>
        <v>Cadmium (Cd)</v>
      </c>
      <c r="C18">
        <f>Invoertabblad!D19</f>
        <v>0</v>
      </c>
      <c r="D18">
        <f>Invoertabblad!E19</f>
        <v>0</v>
      </c>
      <c r="E18" t="b">
        <f t="shared" ref="E18:E26" si="4">IF(C18="&lt;",SUM(D18*0.7))</f>
        <v>0</v>
      </c>
      <c r="F18">
        <f t="shared" ref="F18:F26" si="5">IF(E18="ONWAAR",D18,D18)</f>
        <v>0</v>
      </c>
      <c r="G18">
        <f t="shared" ref="G18:G26" si="6">IF(C18="&lt;",E18,F18)</f>
        <v>0</v>
      </c>
      <c r="H18" s="135" t="s">
        <v>203</v>
      </c>
      <c r="I18" s="159">
        <f t="shared" si="1"/>
        <v>0</v>
      </c>
      <c r="J18" s="159"/>
      <c r="K18" t="str">
        <f t="shared" si="0"/>
        <v>mg/kg ds</v>
      </c>
      <c r="M18">
        <v>0.4</v>
      </c>
      <c r="N18">
        <v>7.0000000000000001E-3</v>
      </c>
      <c r="O18">
        <v>2.1000000000000001E-2</v>
      </c>
      <c r="P18">
        <f t="shared" si="2"/>
        <v>2</v>
      </c>
      <c r="R18">
        <f t="shared" si="3"/>
        <v>2</v>
      </c>
    </row>
    <row r="19" spans="2:18" x14ac:dyDescent="0.25">
      <c r="B19" t="str">
        <f>Invoertabblad!B27</f>
        <v>Kobalt (Co)</v>
      </c>
      <c r="C19">
        <f>Invoertabblad!D27</f>
        <v>0</v>
      </c>
      <c r="D19">
        <f>Invoertabblad!E27</f>
        <v>0</v>
      </c>
      <c r="E19" t="b">
        <f t="shared" si="4"/>
        <v>0</v>
      </c>
      <c r="F19">
        <f t="shared" si="5"/>
        <v>0</v>
      </c>
      <c r="G19">
        <f t="shared" si="6"/>
        <v>0</v>
      </c>
      <c r="H19" s="135" t="s">
        <v>203</v>
      </c>
      <c r="I19" s="158">
        <f t="shared" si="1"/>
        <v>0</v>
      </c>
      <c r="J19" s="158"/>
      <c r="K19" t="str">
        <f t="shared" si="0"/>
        <v>mg/kg ds</v>
      </c>
      <c r="M19">
        <v>2</v>
      </c>
      <c r="N19">
        <v>0.28000000000000003</v>
      </c>
      <c r="O19">
        <v>0</v>
      </c>
      <c r="P19">
        <f t="shared" si="2"/>
        <v>2</v>
      </c>
      <c r="R19">
        <f t="shared" si="3"/>
        <v>2</v>
      </c>
    </row>
    <row r="20" spans="2:18" x14ac:dyDescent="0.25">
      <c r="B20" t="str">
        <f>Invoertabblad!B21</f>
        <v>Koper (Cu)</v>
      </c>
      <c r="C20">
        <f>Invoertabblad!D21</f>
        <v>0</v>
      </c>
      <c r="D20">
        <f>Invoertabblad!E21</f>
        <v>0</v>
      </c>
      <c r="E20" t="b">
        <f t="shared" si="4"/>
        <v>0</v>
      </c>
      <c r="F20">
        <f t="shared" si="5"/>
        <v>0</v>
      </c>
      <c r="G20">
        <f t="shared" si="6"/>
        <v>0</v>
      </c>
      <c r="H20" s="135" t="s">
        <v>203</v>
      </c>
      <c r="I20" s="158">
        <f t="shared" si="1"/>
        <v>0</v>
      </c>
      <c r="J20" s="158"/>
      <c r="K20" t="str">
        <f t="shared" si="0"/>
        <v>mg/kg ds</v>
      </c>
      <c r="M20">
        <v>15</v>
      </c>
      <c r="N20">
        <v>0.6</v>
      </c>
      <c r="O20">
        <v>0.6</v>
      </c>
      <c r="P20">
        <f t="shared" si="2"/>
        <v>2</v>
      </c>
      <c r="R20">
        <f t="shared" si="3"/>
        <v>2</v>
      </c>
    </row>
    <row r="21" spans="2:18" x14ac:dyDescent="0.25">
      <c r="B21" t="str">
        <f>Invoertabblad!B22</f>
        <v>Kwik (Hg)</v>
      </c>
      <c r="C21">
        <f>Invoertabblad!D22</f>
        <v>0</v>
      </c>
      <c r="D21">
        <f>Invoertabblad!E22</f>
        <v>0</v>
      </c>
      <c r="E21" t="b">
        <f t="shared" si="4"/>
        <v>0</v>
      </c>
      <c r="F21">
        <f t="shared" si="5"/>
        <v>0</v>
      </c>
      <c r="G21">
        <f t="shared" si="6"/>
        <v>0</v>
      </c>
      <c r="H21" s="135" t="s">
        <v>203</v>
      </c>
      <c r="I21" s="159">
        <f t="shared" si="1"/>
        <v>0</v>
      </c>
      <c r="J21" s="159"/>
      <c r="K21" t="str">
        <f t="shared" si="0"/>
        <v>mg/kg ds</v>
      </c>
      <c r="M21">
        <v>0.2</v>
      </c>
      <c r="N21">
        <v>3.3999999999999998E-3</v>
      </c>
      <c r="O21">
        <v>1.6999999999999999E-3</v>
      </c>
      <c r="P21">
        <f t="shared" si="2"/>
        <v>2</v>
      </c>
      <c r="R21">
        <f t="shared" si="3"/>
        <v>2</v>
      </c>
    </row>
    <row r="22" spans="2:18" x14ac:dyDescent="0.25">
      <c r="B22" t="str">
        <f>Invoertabblad!B24</f>
        <v>Lood (Pb)</v>
      </c>
      <c r="C22">
        <f>Invoertabblad!D24</f>
        <v>0</v>
      </c>
      <c r="D22">
        <f>Invoertabblad!E24</f>
        <v>0</v>
      </c>
      <c r="E22" t="b">
        <f t="shared" si="4"/>
        <v>0</v>
      </c>
      <c r="F22">
        <f t="shared" si="5"/>
        <v>0</v>
      </c>
      <c r="G22">
        <f t="shared" si="6"/>
        <v>0</v>
      </c>
      <c r="H22" s="135" t="s">
        <v>203</v>
      </c>
      <c r="I22" s="158">
        <f t="shared" si="1"/>
        <v>0</v>
      </c>
      <c r="J22" s="158"/>
      <c r="K22" t="str">
        <f t="shared" si="0"/>
        <v>mg/kg ds</v>
      </c>
      <c r="M22">
        <v>50</v>
      </c>
      <c r="N22">
        <v>1</v>
      </c>
      <c r="O22">
        <v>1</v>
      </c>
      <c r="P22">
        <f t="shared" si="2"/>
        <v>2</v>
      </c>
      <c r="R22">
        <f t="shared" si="3"/>
        <v>2</v>
      </c>
    </row>
    <row r="23" spans="2:18" x14ac:dyDescent="0.25">
      <c r="B23" t="str">
        <f>Invoertabblad!B28</f>
        <v>Molybdeen (Mo)</v>
      </c>
      <c r="C23">
        <f>Invoertabblad!D28</f>
        <v>0</v>
      </c>
      <c r="D23">
        <f>Invoertabblad!E28</f>
        <v>0</v>
      </c>
      <c r="E23" t="b">
        <f t="shared" si="4"/>
        <v>0</v>
      </c>
      <c r="F23">
        <f t="shared" si="5"/>
        <v>0</v>
      </c>
      <c r="G23">
        <f t="shared" si="6"/>
        <v>0</v>
      </c>
      <c r="H23" s="135" t="s">
        <v>203</v>
      </c>
      <c r="I23" s="151">
        <f t="shared" si="1"/>
        <v>0</v>
      </c>
      <c r="J23" s="151"/>
      <c r="K23" t="str">
        <f t="shared" si="0"/>
        <v>mg/kg ds</v>
      </c>
      <c r="M23">
        <v>1</v>
      </c>
      <c r="N23">
        <v>0</v>
      </c>
      <c r="O23">
        <v>0</v>
      </c>
      <c r="P23">
        <f t="shared" si="2"/>
        <v>2</v>
      </c>
      <c r="R23">
        <f t="shared" si="3"/>
        <v>2</v>
      </c>
    </row>
    <row r="24" spans="2:18" x14ac:dyDescent="0.25">
      <c r="B24" t="str">
        <f>Invoertabblad!B23</f>
        <v>Nikkel (Ni)</v>
      </c>
      <c r="C24">
        <f>Invoertabblad!D23</f>
        <v>0</v>
      </c>
      <c r="D24">
        <f>Invoertabblad!E23</f>
        <v>0</v>
      </c>
      <c r="E24" t="b">
        <f t="shared" si="4"/>
        <v>0</v>
      </c>
      <c r="F24">
        <f t="shared" si="5"/>
        <v>0</v>
      </c>
      <c r="G24">
        <f t="shared" si="6"/>
        <v>0</v>
      </c>
      <c r="H24" s="135" t="s">
        <v>203</v>
      </c>
      <c r="I24" s="158">
        <f t="shared" si="1"/>
        <v>0</v>
      </c>
      <c r="J24" s="158"/>
      <c r="K24" t="str">
        <f t="shared" si="0"/>
        <v>mg/kg ds</v>
      </c>
      <c r="M24">
        <v>10</v>
      </c>
      <c r="N24">
        <v>1</v>
      </c>
      <c r="O24">
        <v>0</v>
      </c>
      <c r="P24">
        <f t="shared" si="2"/>
        <v>2</v>
      </c>
      <c r="R24">
        <f t="shared" si="3"/>
        <v>2</v>
      </c>
    </row>
    <row r="25" spans="2:18" x14ac:dyDescent="0.25">
      <c r="B25" t="str">
        <f>Invoertabblad!B25</f>
        <v>Zink (Zn)</v>
      </c>
      <c r="C25">
        <f>Invoertabblad!D25</f>
        <v>0</v>
      </c>
      <c r="D25">
        <f>Invoertabblad!E25</f>
        <v>0</v>
      </c>
      <c r="E25" t="b">
        <f t="shared" si="4"/>
        <v>0</v>
      </c>
      <c r="F25">
        <f t="shared" si="5"/>
        <v>0</v>
      </c>
      <c r="G25">
        <f t="shared" si="6"/>
        <v>0</v>
      </c>
      <c r="H25" s="135" t="s">
        <v>203</v>
      </c>
      <c r="I25" s="158">
        <f t="shared" si="1"/>
        <v>0</v>
      </c>
      <c r="J25" s="158"/>
      <c r="K25" t="str">
        <f t="shared" si="0"/>
        <v>mg/kg ds</v>
      </c>
      <c r="M25">
        <v>50</v>
      </c>
      <c r="N25">
        <v>3</v>
      </c>
      <c r="O25">
        <v>1.5</v>
      </c>
      <c r="P25">
        <f t="shared" si="2"/>
        <v>2</v>
      </c>
      <c r="R25">
        <f t="shared" si="3"/>
        <v>2</v>
      </c>
    </row>
    <row r="26" spans="2:18" x14ac:dyDescent="0.25">
      <c r="B26" t="str">
        <f>Invoertabblad!B20</f>
        <v>Chroom (Cr)</v>
      </c>
      <c r="C26">
        <f>Invoertabblad!D20</f>
        <v>0</v>
      </c>
      <c r="D26">
        <f>Invoertabblad!E20</f>
        <v>0</v>
      </c>
      <c r="E26" t="b">
        <f t="shared" si="4"/>
        <v>0</v>
      </c>
      <c r="F26">
        <f t="shared" si="5"/>
        <v>0</v>
      </c>
      <c r="G26">
        <f t="shared" si="6"/>
        <v>0</v>
      </c>
      <c r="H26" s="135" t="s">
        <v>203</v>
      </c>
      <c r="I26" s="158">
        <f t="shared" si="1"/>
        <v>0</v>
      </c>
      <c r="J26" s="158"/>
      <c r="K26" t="str">
        <f t="shared" si="0"/>
        <v>mg/kg ds</v>
      </c>
      <c r="M26">
        <v>50</v>
      </c>
      <c r="N26">
        <v>2</v>
      </c>
      <c r="O26">
        <v>0</v>
      </c>
      <c r="P26">
        <f t="shared" si="2"/>
        <v>2</v>
      </c>
      <c r="R26">
        <f t="shared" si="3"/>
        <v>2</v>
      </c>
    </row>
    <row r="28" spans="2:18" x14ac:dyDescent="0.25">
      <c r="B28" s="25" t="str">
        <f>Invoertabblad!B30</f>
        <v>Overige anorganische stoffen</v>
      </c>
    </row>
    <row r="29" spans="2:18" x14ac:dyDescent="0.25">
      <c r="B29" s="135" t="str">
        <f>Invoertabblad!B31</f>
        <v>cyanide (vrij)</v>
      </c>
      <c r="C29">
        <f>Invoertabblad!D31</f>
        <v>0</v>
      </c>
      <c r="D29">
        <f>Invoertabblad!E31</f>
        <v>0</v>
      </c>
      <c r="E29" t="b">
        <f t="shared" ref="E29" si="7">IF(C29="&lt;",SUM(D29*0.7))</f>
        <v>0</v>
      </c>
      <c r="F29">
        <f t="shared" ref="F29" si="8">IF(E29="ONWAAR",D29,D29)</f>
        <v>0</v>
      </c>
      <c r="G29">
        <f t="shared" ref="G29" si="9">IF(C29="&lt;",E29,F29)</f>
        <v>0</v>
      </c>
      <c r="H29" s="135" t="s">
        <v>203</v>
      </c>
      <c r="I29" s="151">
        <f t="shared" ref="I29:I31" si="10">G29*(((M29+N29*25)+(O29*10))/((M29+N29*P29)+(O29*R29)))</f>
        <v>0</v>
      </c>
      <c r="J29" s="151"/>
      <c r="K29" t="str">
        <f t="shared" si="0"/>
        <v>mg/kg ds</v>
      </c>
      <c r="M29">
        <v>1</v>
      </c>
      <c r="N29">
        <v>0</v>
      </c>
      <c r="O29">
        <v>0</v>
      </c>
      <c r="P29">
        <f t="shared" ref="P29:P31" si="11">MAX($D$12,2)</f>
        <v>2</v>
      </c>
      <c r="R29">
        <f t="shared" ref="R29:R31" si="12">MAX($D$13,2)</f>
        <v>2</v>
      </c>
    </row>
    <row r="30" spans="2:18" x14ac:dyDescent="0.25">
      <c r="B30" s="135" t="str">
        <f>Invoertabblad!B32</f>
        <v>cyanide (complex)</v>
      </c>
      <c r="C30">
        <f>Invoertabblad!D32</f>
        <v>0</v>
      </c>
      <c r="D30">
        <f>Invoertabblad!E32</f>
        <v>0</v>
      </c>
      <c r="E30" t="b">
        <f t="shared" ref="E30:E31" si="13">IF(C30="&lt;",SUM(D30*0.7))</f>
        <v>0</v>
      </c>
      <c r="F30">
        <f t="shared" ref="F30:F31" si="14">IF(E30="ONWAAR",D30,D30)</f>
        <v>0</v>
      </c>
      <c r="G30">
        <f t="shared" ref="G30:G31" si="15">IF(C30="&lt;",E30,F30)</f>
        <v>0</v>
      </c>
      <c r="H30" s="135" t="s">
        <v>203</v>
      </c>
      <c r="I30" s="151">
        <f t="shared" si="10"/>
        <v>0</v>
      </c>
      <c r="J30" s="151"/>
      <c r="K30" t="str">
        <f t="shared" si="0"/>
        <v>mg/kg ds</v>
      </c>
      <c r="M30">
        <v>1</v>
      </c>
      <c r="N30">
        <v>0</v>
      </c>
      <c r="O30">
        <v>0</v>
      </c>
      <c r="P30">
        <f t="shared" si="11"/>
        <v>2</v>
      </c>
      <c r="R30">
        <f t="shared" si="12"/>
        <v>2</v>
      </c>
    </row>
    <row r="31" spans="2:18" x14ac:dyDescent="0.25">
      <c r="B31" s="135" t="str">
        <f>Invoertabblad!B33</f>
        <v>Thiocyanaten</v>
      </c>
      <c r="C31">
        <f>Invoertabblad!D33</f>
        <v>0</v>
      </c>
      <c r="D31">
        <f>Invoertabblad!E33</f>
        <v>0</v>
      </c>
      <c r="E31" t="b">
        <f t="shared" si="13"/>
        <v>0</v>
      </c>
      <c r="F31">
        <f t="shared" si="14"/>
        <v>0</v>
      </c>
      <c r="G31">
        <f t="shared" si="15"/>
        <v>0</v>
      </c>
      <c r="H31" s="135" t="s">
        <v>203</v>
      </c>
      <c r="I31" s="151">
        <f t="shared" si="10"/>
        <v>0</v>
      </c>
      <c r="J31" s="151"/>
      <c r="K31" t="str">
        <f t="shared" si="0"/>
        <v>mg/kg ds</v>
      </c>
      <c r="M31">
        <v>1</v>
      </c>
      <c r="N31">
        <v>0</v>
      </c>
      <c r="O31">
        <v>0</v>
      </c>
      <c r="P31">
        <f t="shared" si="11"/>
        <v>2</v>
      </c>
      <c r="R31">
        <f t="shared" si="12"/>
        <v>2</v>
      </c>
    </row>
    <row r="32" spans="2:18" x14ac:dyDescent="0.25">
      <c r="C32">
        <f>Invoertabblad!D29</f>
        <v>0</v>
      </c>
    </row>
    <row r="33" spans="2:19" x14ac:dyDescent="0.25">
      <c r="B33" s="25" t="str">
        <f>Invoertabblad!B35</f>
        <v>Asbest</v>
      </c>
      <c r="C33">
        <f>Invoertabblad!D35</f>
        <v>0</v>
      </c>
      <c r="D33">
        <f>Invoertabblad!E35</f>
        <v>0</v>
      </c>
      <c r="E33" t="b">
        <f>IF(C33="&lt;",SUM(D33*0.7))</f>
        <v>0</v>
      </c>
      <c r="F33">
        <f>IF(E33="ONWAAR",D33,D33)</f>
        <v>0</v>
      </c>
      <c r="G33">
        <f>IF(C33="&lt;",E33,F33)</f>
        <v>0</v>
      </c>
      <c r="H33" s="135" t="s">
        <v>203</v>
      </c>
      <c r="I33" s="151">
        <f>D33</f>
        <v>0</v>
      </c>
      <c r="J33" s="151"/>
      <c r="K33" t="str">
        <f>H33</f>
        <v>mg/kg ds</v>
      </c>
    </row>
    <row r="35" spans="2:19" x14ac:dyDescent="0.25">
      <c r="B35" s="25" t="str">
        <f>Invoertabblad!B40</f>
        <v>PAK10</v>
      </c>
      <c r="S35" s="135"/>
    </row>
    <row r="36" spans="2:19" x14ac:dyDescent="0.25">
      <c r="B36" t="str">
        <f>Invoertabblad!B41</f>
        <v>Naftaleen</v>
      </c>
      <c r="C36">
        <f>Invoertabblad!D41</f>
        <v>0</v>
      </c>
      <c r="D36">
        <f>Invoertabblad!E41</f>
        <v>0</v>
      </c>
      <c r="E36" t="b">
        <f t="shared" ref="E36:E48" si="16">IF(C36="&lt;",SUM(D36*0.7))</f>
        <v>0</v>
      </c>
      <c r="F36">
        <f t="shared" ref="F36:F48" si="17">IF(E36="ONWAAR",D36,D36)</f>
        <v>0</v>
      </c>
      <c r="G36">
        <f t="shared" ref="G36:G48" si="18">IF(C36="&lt;",E36,F36)</f>
        <v>0</v>
      </c>
      <c r="H36" s="135" t="s">
        <v>203</v>
      </c>
      <c r="I36" s="158">
        <f>IF($D$13&gt;10.01,J36,D36)</f>
        <v>0</v>
      </c>
      <c r="J36" s="161">
        <f t="shared" ref="J36:J45" si="19">D36*(((M36+N36*25)+(O36*10))/((M36+N36*P36)+(O36*R36)))</f>
        <v>0</v>
      </c>
      <c r="K36" t="str">
        <f t="shared" si="0"/>
        <v>mg/kg ds</v>
      </c>
      <c r="M36">
        <v>0</v>
      </c>
      <c r="N36">
        <v>0</v>
      </c>
      <c r="O36">
        <v>1</v>
      </c>
      <c r="P36">
        <f t="shared" ref="P36:P45" si="20">MAX($D$12,10)</f>
        <v>10</v>
      </c>
      <c r="Q36">
        <f t="shared" ref="Q36:Q45" si="21">(MAX($D$13,2))</f>
        <v>2</v>
      </c>
      <c r="R36">
        <f t="shared" ref="R36:R45" si="22">(MIN(Q36,30))</f>
        <v>2</v>
      </c>
    </row>
    <row r="37" spans="2:19" x14ac:dyDescent="0.25">
      <c r="B37" t="str">
        <f>Invoertabblad!B43</f>
        <v>Antraceen</v>
      </c>
      <c r="C37">
        <f>Invoertabblad!D43</f>
        <v>0</v>
      </c>
      <c r="D37">
        <f>Invoertabblad!E43</f>
        <v>0</v>
      </c>
      <c r="E37" t="b">
        <f t="shared" si="16"/>
        <v>0</v>
      </c>
      <c r="F37">
        <f t="shared" si="17"/>
        <v>0</v>
      </c>
      <c r="G37">
        <f t="shared" si="18"/>
        <v>0</v>
      </c>
      <c r="H37" s="135" t="s">
        <v>203</v>
      </c>
      <c r="I37" s="158">
        <f t="shared" ref="I37:I45" si="23">IF($D$13&gt;10.01,J37,D37)</f>
        <v>0</v>
      </c>
      <c r="J37" s="161">
        <f t="shared" si="19"/>
        <v>0</v>
      </c>
      <c r="K37" t="str">
        <f t="shared" si="0"/>
        <v>mg/kg ds</v>
      </c>
      <c r="M37">
        <v>0</v>
      </c>
      <c r="N37">
        <v>0</v>
      </c>
      <c r="O37">
        <v>1</v>
      </c>
      <c r="P37">
        <f t="shared" si="20"/>
        <v>10</v>
      </c>
      <c r="Q37">
        <f t="shared" si="21"/>
        <v>2</v>
      </c>
      <c r="R37">
        <f t="shared" si="22"/>
        <v>2</v>
      </c>
    </row>
    <row r="38" spans="2:19" x14ac:dyDescent="0.25">
      <c r="B38" t="str">
        <f>Invoertabblad!B42</f>
        <v>Fenantreen</v>
      </c>
      <c r="C38">
        <f>Invoertabblad!D42</f>
        <v>0</v>
      </c>
      <c r="D38">
        <f>Invoertabblad!E42</f>
        <v>0</v>
      </c>
      <c r="E38" t="b">
        <f t="shared" si="16"/>
        <v>0</v>
      </c>
      <c r="F38">
        <f t="shared" si="17"/>
        <v>0</v>
      </c>
      <c r="G38">
        <f t="shared" si="18"/>
        <v>0</v>
      </c>
      <c r="H38" s="135" t="s">
        <v>203</v>
      </c>
      <c r="I38" s="158">
        <f t="shared" si="23"/>
        <v>0</v>
      </c>
      <c r="J38" s="161">
        <f t="shared" si="19"/>
        <v>0</v>
      </c>
      <c r="K38" t="str">
        <f t="shared" si="0"/>
        <v>mg/kg ds</v>
      </c>
      <c r="M38">
        <v>0</v>
      </c>
      <c r="N38">
        <v>0</v>
      </c>
      <c r="O38">
        <v>1</v>
      </c>
      <c r="P38">
        <f t="shared" si="20"/>
        <v>10</v>
      </c>
      <c r="Q38">
        <f t="shared" si="21"/>
        <v>2</v>
      </c>
      <c r="R38">
        <f t="shared" si="22"/>
        <v>2</v>
      </c>
    </row>
    <row r="39" spans="2:19" x14ac:dyDescent="0.25">
      <c r="B39" t="str">
        <f>Invoertabblad!B44</f>
        <v>Fluoranteen</v>
      </c>
      <c r="C39">
        <f>Invoertabblad!D44</f>
        <v>0</v>
      </c>
      <c r="D39">
        <f>Invoertabblad!E44</f>
        <v>0</v>
      </c>
      <c r="E39" t="b">
        <f t="shared" si="16"/>
        <v>0</v>
      </c>
      <c r="F39">
        <f t="shared" si="17"/>
        <v>0</v>
      </c>
      <c r="G39">
        <f t="shared" si="18"/>
        <v>0</v>
      </c>
      <c r="H39" s="135" t="s">
        <v>203</v>
      </c>
      <c r="I39" s="158">
        <f t="shared" si="23"/>
        <v>0</v>
      </c>
      <c r="J39" s="161">
        <f t="shared" si="19"/>
        <v>0</v>
      </c>
      <c r="K39" t="str">
        <f t="shared" si="0"/>
        <v>mg/kg ds</v>
      </c>
      <c r="M39">
        <v>0</v>
      </c>
      <c r="N39">
        <v>0</v>
      </c>
      <c r="O39">
        <v>1</v>
      </c>
      <c r="P39">
        <f t="shared" si="20"/>
        <v>10</v>
      </c>
      <c r="Q39">
        <f t="shared" si="21"/>
        <v>2</v>
      </c>
      <c r="R39">
        <f t="shared" si="22"/>
        <v>2</v>
      </c>
    </row>
    <row r="40" spans="2:19" x14ac:dyDescent="0.25">
      <c r="B40" t="str">
        <f>Invoertabblad!B45</f>
        <v>Benzo(a)anthraceen</v>
      </c>
      <c r="C40">
        <f>Invoertabblad!D45</f>
        <v>0</v>
      </c>
      <c r="D40">
        <f>Invoertabblad!E45</f>
        <v>0</v>
      </c>
      <c r="E40" t="b">
        <f t="shared" si="16"/>
        <v>0</v>
      </c>
      <c r="F40">
        <f t="shared" si="17"/>
        <v>0</v>
      </c>
      <c r="G40">
        <f t="shared" si="18"/>
        <v>0</v>
      </c>
      <c r="H40" s="135" t="s">
        <v>203</v>
      </c>
      <c r="I40" s="158">
        <f t="shared" si="23"/>
        <v>0</v>
      </c>
      <c r="J40" s="161">
        <f t="shared" si="19"/>
        <v>0</v>
      </c>
      <c r="K40" t="str">
        <f t="shared" si="0"/>
        <v>mg/kg ds</v>
      </c>
      <c r="M40">
        <v>0</v>
      </c>
      <c r="N40">
        <v>0</v>
      </c>
      <c r="O40">
        <v>1</v>
      </c>
      <c r="P40">
        <f t="shared" si="20"/>
        <v>10</v>
      </c>
      <c r="Q40">
        <f t="shared" si="21"/>
        <v>2</v>
      </c>
      <c r="R40">
        <f t="shared" si="22"/>
        <v>2</v>
      </c>
    </row>
    <row r="41" spans="2:19" x14ac:dyDescent="0.25">
      <c r="B41" t="str">
        <f>Invoertabblad!B46</f>
        <v>Chryseen</v>
      </c>
      <c r="C41">
        <f>Invoertabblad!D46</f>
        <v>0</v>
      </c>
      <c r="D41">
        <f>Invoertabblad!E46</f>
        <v>0</v>
      </c>
      <c r="E41" t="b">
        <f t="shared" si="16"/>
        <v>0</v>
      </c>
      <c r="F41">
        <f t="shared" si="17"/>
        <v>0</v>
      </c>
      <c r="G41">
        <f t="shared" si="18"/>
        <v>0</v>
      </c>
      <c r="H41" s="135" t="s">
        <v>203</v>
      </c>
      <c r="I41" s="158">
        <f t="shared" si="23"/>
        <v>0</v>
      </c>
      <c r="J41" s="161">
        <f t="shared" si="19"/>
        <v>0</v>
      </c>
      <c r="K41" t="str">
        <f t="shared" si="0"/>
        <v>mg/kg ds</v>
      </c>
      <c r="M41">
        <v>0</v>
      </c>
      <c r="N41">
        <v>0</v>
      </c>
      <c r="O41">
        <v>1</v>
      </c>
      <c r="P41">
        <f t="shared" si="20"/>
        <v>10</v>
      </c>
      <c r="Q41">
        <f t="shared" si="21"/>
        <v>2</v>
      </c>
      <c r="R41">
        <f t="shared" si="22"/>
        <v>2</v>
      </c>
    </row>
    <row r="42" spans="2:19" x14ac:dyDescent="0.25">
      <c r="B42" t="str">
        <f>Invoertabblad!B47</f>
        <v>Benzo(k)fluorantheen</v>
      </c>
      <c r="C42">
        <f>Invoertabblad!D47</f>
        <v>0</v>
      </c>
      <c r="D42">
        <f>Invoertabblad!E47</f>
        <v>0</v>
      </c>
      <c r="E42" t="b">
        <f t="shared" si="16"/>
        <v>0</v>
      </c>
      <c r="F42">
        <f t="shared" si="17"/>
        <v>0</v>
      </c>
      <c r="G42">
        <f t="shared" si="18"/>
        <v>0</v>
      </c>
      <c r="H42" s="135" t="s">
        <v>203</v>
      </c>
      <c r="I42" s="158">
        <f t="shared" si="23"/>
        <v>0</v>
      </c>
      <c r="J42" s="161">
        <f t="shared" si="19"/>
        <v>0</v>
      </c>
      <c r="K42" t="str">
        <f t="shared" si="0"/>
        <v>mg/kg ds</v>
      </c>
      <c r="M42">
        <v>0</v>
      </c>
      <c r="N42">
        <v>0</v>
      </c>
      <c r="O42">
        <v>1</v>
      </c>
      <c r="P42">
        <f t="shared" si="20"/>
        <v>10</v>
      </c>
      <c r="Q42">
        <f t="shared" si="21"/>
        <v>2</v>
      </c>
      <c r="R42">
        <f t="shared" si="22"/>
        <v>2</v>
      </c>
    </row>
    <row r="43" spans="2:19" x14ac:dyDescent="0.25">
      <c r="B43" t="str">
        <f>Invoertabblad!B48</f>
        <v>Benzo(a)pyreen</v>
      </c>
      <c r="C43">
        <f>Invoertabblad!D48</f>
        <v>0</v>
      </c>
      <c r="D43">
        <f>Invoertabblad!E48</f>
        <v>0</v>
      </c>
      <c r="E43" t="b">
        <f t="shared" si="16"/>
        <v>0</v>
      </c>
      <c r="F43">
        <f t="shared" si="17"/>
        <v>0</v>
      </c>
      <c r="G43">
        <f t="shared" si="18"/>
        <v>0</v>
      </c>
      <c r="H43" s="135" t="s">
        <v>203</v>
      </c>
      <c r="I43" s="158">
        <f t="shared" si="23"/>
        <v>0</v>
      </c>
      <c r="J43" s="161">
        <f t="shared" si="19"/>
        <v>0</v>
      </c>
      <c r="K43" t="str">
        <f t="shared" si="0"/>
        <v>mg/kg ds</v>
      </c>
      <c r="M43">
        <v>0</v>
      </c>
      <c r="N43">
        <v>0</v>
      </c>
      <c r="O43">
        <v>1</v>
      </c>
      <c r="P43">
        <f t="shared" si="20"/>
        <v>10</v>
      </c>
      <c r="Q43">
        <f t="shared" si="21"/>
        <v>2</v>
      </c>
      <c r="R43">
        <f t="shared" si="22"/>
        <v>2</v>
      </c>
    </row>
    <row r="44" spans="2:19" x14ac:dyDescent="0.25">
      <c r="B44" t="str">
        <f>Invoertabblad!B49</f>
        <v>Benzo(ghi)peryleen</v>
      </c>
      <c r="C44">
        <f>Invoertabblad!D49</f>
        <v>0</v>
      </c>
      <c r="D44">
        <f>Invoertabblad!E49</f>
        <v>0</v>
      </c>
      <c r="E44" t="b">
        <f t="shared" si="16"/>
        <v>0</v>
      </c>
      <c r="F44">
        <f t="shared" si="17"/>
        <v>0</v>
      </c>
      <c r="G44">
        <f t="shared" si="18"/>
        <v>0</v>
      </c>
      <c r="H44" s="135" t="s">
        <v>203</v>
      </c>
      <c r="I44" s="158">
        <f t="shared" si="23"/>
        <v>0</v>
      </c>
      <c r="J44" s="161">
        <f t="shared" si="19"/>
        <v>0</v>
      </c>
      <c r="K44" t="str">
        <f t="shared" si="0"/>
        <v>mg/kg ds</v>
      </c>
      <c r="M44">
        <v>0</v>
      </c>
      <c r="N44">
        <v>0</v>
      </c>
      <c r="O44">
        <v>1</v>
      </c>
      <c r="P44">
        <f t="shared" si="20"/>
        <v>10</v>
      </c>
      <c r="Q44">
        <f t="shared" si="21"/>
        <v>2</v>
      </c>
      <c r="R44">
        <f t="shared" si="22"/>
        <v>2</v>
      </c>
    </row>
    <row r="45" spans="2:19" x14ac:dyDescent="0.25">
      <c r="B45" t="str">
        <f>Invoertabblad!B50</f>
        <v>Indeen(1,2,3-cd)pyreen</v>
      </c>
      <c r="C45">
        <f>Invoertabblad!D50</f>
        <v>0</v>
      </c>
      <c r="D45">
        <f>Invoertabblad!E50</f>
        <v>0</v>
      </c>
      <c r="E45" t="b">
        <f t="shared" si="16"/>
        <v>0</v>
      </c>
      <c r="F45">
        <f t="shared" si="17"/>
        <v>0</v>
      </c>
      <c r="G45">
        <f t="shared" si="18"/>
        <v>0</v>
      </c>
      <c r="H45" s="135" t="s">
        <v>203</v>
      </c>
      <c r="I45" s="158">
        <f t="shared" si="23"/>
        <v>0</v>
      </c>
      <c r="J45" s="161">
        <f t="shared" si="19"/>
        <v>0</v>
      </c>
      <c r="K45" t="str">
        <f t="shared" si="0"/>
        <v>mg/kg ds</v>
      </c>
      <c r="M45">
        <v>0</v>
      </c>
      <c r="N45">
        <v>0</v>
      </c>
      <c r="O45">
        <v>1</v>
      </c>
      <c r="P45">
        <f t="shared" si="20"/>
        <v>10</v>
      </c>
      <c r="Q45">
        <f t="shared" si="21"/>
        <v>2</v>
      </c>
      <c r="R45">
        <f t="shared" si="22"/>
        <v>2</v>
      </c>
    </row>
    <row r="46" spans="2:19" x14ac:dyDescent="0.25">
      <c r="B46" t="str">
        <f>Invoertabblad!B51</f>
        <v>PAK (10 som)</v>
      </c>
      <c r="C46">
        <f>Invoertabblad!D51</f>
        <v>0</v>
      </c>
      <c r="D46">
        <f>Invoertabblad!E51</f>
        <v>0</v>
      </c>
      <c r="E46" t="b">
        <f>IF(C46="&lt;",SUM(D46*0.7))</f>
        <v>0</v>
      </c>
      <c r="F46">
        <f>IF(E46="ONWAAR",D46,D46)</f>
        <v>0</v>
      </c>
      <c r="G46">
        <f>IF(C46="&lt;",E46,F46)</f>
        <v>0</v>
      </c>
      <c r="I46" s="158">
        <f t="shared" ref="I46" si="24">IF($D$13&gt;10.01,J46,D46)</f>
        <v>0</v>
      </c>
      <c r="J46" s="161">
        <f t="shared" ref="J46" si="25">D46*(((M46+N46*25)+(O46*10))/((M46+N46*P46)+(O46*R46)))</f>
        <v>0</v>
      </c>
      <c r="K46" t="str">
        <f>K45</f>
        <v>mg/kg ds</v>
      </c>
      <c r="M46">
        <v>0</v>
      </c>
      <c r="N46">
        <v>0</v>
      </c>
      <c r="O46">
        <v>1</v>
      </c>
      <c r="P46">
        <f>MAX($D$12,10)</f>
        <v>10</v>
      </c>
      <c r="Q46">
        <f>(MAX($D$13,2))</f>
        <v>2</v>
      </c>
      <c r="R46">
        <f>(MIN(Q46,30))</f>
        <v>2</v>
      </c>
    </row>
    <row r="48" spans="2:19" x14ac:dyDescent="0.25">
      <c r="B48" t="str">
        <f>Invoertabblad!B37</f>
        <v>Minerale olie</v>
      </c>
      <c r="C48">
        <f>Invoertabblad!D37</f>
        <v>0</v>
      </c>
      <c r="D48">
        <f>Invoertabblad!E37</f>
        <v>0</v>
      </c>
      <c r="E48" t="b">
        <f t="shared" si="16"/>
        <v>0</v>
      </c>
      <c r="F48">
        <f t="shared" si="17"/>
        <v>0</v>
      </c>
      <c r="G48">
        <f t="shared" si="18"/>
        <v>0</v>
      </c>
      <c r="H48" s="135" t="s">
        <v>203</v>
      </c>
      <c r="I48" s="158">
        <f>D48*(((M48+N48*25)+(O48*10))/((M48+N48*P48)+(O48*R48)))</f>
        <v>0</v>
      </c>
      <c r="J48" s="158"/>
      <c r="K48" t="str">
        <f t="shared" si="0"/>
        <v>mg/kg ds</v>
      </c>
      <c r="M48">
        <v>0</v>
      </c>
      <c r="N48">
        <v>0</v>
      </c>
      <c r="O48">
        <v>1</v>
      </c>
      <c r="P48">
        <f>MAX($D$12,2)</f>
        <v>2</v>
      </c>
      <c r="Q48">
        <f>(MAX($D$13,2))</f>
        <v>2</v>
      </c>
      <c r="R48">
        <f>(MIN(Q48,30))</f>
        <v>2</v>
      </c>
    </row>
    <row r="50" spans="2:18" x14ac:dyDescent="0.25">
      <c r="B50" s="25" t="str">
        <f>Invoertabblad!B53</f>
        <v>Gechloreerde koolwaterstoffen</v>
      </c>
    </row>
    <row r="51" spans="2:18" x14ac:dyDescent="0.25">
      <c r="B51" s="135" t="str">
        <f>Invoertabblad!B54</f>
        <v>PCB28</v>
      </c>
      <c r="C51">
        <f>Invoertabblad!D54</f>
        <v>0</v>
      </c>
      <c r="D51">
        <f>Invoertabblad!E54</f>
        <v>0</v>
      </c>
      <c r="E51" t="b">
        <f t="shared" ref="E51:E63" si="26">IF(C51="&lt;",SUM(D51*0.7))</f>
        <v>0</v>
      </c>
      <c r="F51">
        <f t="shared" ref="F51:F63" si="27">IF(E51="ONWAAR",D51,D51)</f>
        <v>0</v>
      </c>
      <c r="G51">
        <f t="shared" ref="G51:G63" si="28">IF(C51="&lt;",E51,F51)</f>
        <v>0</v>
      </c>
      <c r="H51" s="135" t="s">
        <v>203</v>
      </c>
      <c r="I51" s="161">
        <f t="shared" ref="I51:I59" si="29">D51*(((M51+N51*25)+(O51*10))/((M51+N51*P51)+(O51*R51)))</f>
        <v>0</v>
      </c>
      <c r="J51" s="160"/>
      <c r="K51" t="str">
        <f t="shared" ref="K51:K62" si="30">H51</f>
        <v>mg/kg ds</v>
      </c>
      <c r="M51">
        <v>0</v>
      </c>
      <c r="N51">
        <v>0</v>
      </c>
      <c r="O51">
        <v>1</v>
      </c>
      <c r="P51">
        <f t="shared" ref="P51:P59" si="31">MAX($D$12,2)</f>
        <v>2</v>
      </c>
      <c r="Q51">
        <f t="shared" ref="Q51:Q59" si="32">(MAX($D$13,2))</f>
        <v>2</v>
      </c>
      <c r="R51">
        <f t="shared" ref="R51:R59" si="33">(MIN(Q51,30))</f>
        <v>2</v>
      </c>
    </row>
    <row r="52" spans="2:18" x14ac:dyDescent="0.25">
      <c r="B52" s="135" t="str">
        <f>Invoertabblad!B55</f>
        <v>PCB52</v>
      </c>
      <c r="C52">
        <f>Invoertabblad!D55</f>
        <v>0</v>
      </c>
      <c r="D52">
        <f>Invoertabblad!E55</f>
        <v>0</v>
      </c>
      <c r="E52" t="b">
        <f t="shared" si="26"/>
        <v>0</v>
      </c>
      <c r="F52">
        <f t="shared" si="27"/>
        <v>0</v>
      </c>
      <c r="G52">
        <f t="shared" si="28"/>
        <v>0</v>
      </c>
      <c r="H52" s="135" t="s">
        <v>203</v>
      </c>
      <c r="I52" s="161">
        <f t="shared" si="29"/>
        <v>0</v>
      </c>
      <c r="J52" s="160"/>
      <c r="K52" t="str">
        <f t="shared" si="30"/>
        <v>mg/kg ds</v>
      </c>
      <c r="M52">
        <v>0</v>
      </c>
      <c r="N52">
        <v>0</v>
      </c>
      <c r="O52">
        <v>1</v>
      </c>
      <c r="P52">
        <f t="shared" si="31"/>
        <v>2</v>
      </c>
      <c r="Q52">
        <f t="shared" si="32"/>
        <v>2</v>
      </c>
      <c r="R52">
        <f t="shared" si="33"/>
        <v>2</v>
      </c>
    </row>
    <row r="53" spans="2:18" x14ac:dyDescent="0.25">
      <c r="B53" s="135" t="str">
        <f>Invoertabblad!B56</f>
        <v>PCB101</v>
      </c>
      <c r="C53">
        <f>Invoertabblad!D56</f>
        <v>0</v>
      </c>
      <c r="D53">
        <f>Invoertabblad!E56</f>
        <v>0</v>
      </c>
      <c r="E53" t="b">
        <f t="shared" si="26"/>
        <v>0</v>
      </c>
      <c r="F53">
        <f t="shared" si="27"/>
        <v>0</v>
      </c>
      <c r="G53">
        <f t="shared" si="28"/>
        <v>0</v>
      </c>
      <c r="H53" s="135" t="s">
        <v>203</v>
      </c>
      <c r="I53" s="161">
        <f t="shared" si="29"/>
        <v>0</v>
      </c>
      <c r="J53" s="160"/>
      <c r="K53" t="str">
        <f t="shared" si="30"/>
        <v>mg/kg ds</v>
      </c>
      <c r="M53">
        <v>0</v>
      </c>
      <c r="N53">
        <v>0</v>
      </c>
      <c r="O53">
        <v>1</v>
      </c>
      <c r="P53">
        <f t="shared" si="31"/>
        <v>2</v>
      </c>
      <c r="Q53">
        <f t="shared" si="32"/>
        <v>2</v>
      </c>
      <c r="R53">
        <f t="shared" si="33"/>
        <v>2</v>
      </c>
    </row>
    <row r="54" spans="2:18" x14ac:dyDescent="0.25">
      <c r="B54" s="135" t="str">
        <f>Invoertabblad!B57</f>
        <v>PCB118</v>
      </c>
      <c r="C54">
        <f>Invoertabblad!D57</f>
        <v>0</v>
      </c>
      <c r="D54">
        <f>Invoertabblad!E57</f>
        <v>0</v>
      </c>
      <c r="E54" t="b">
        <f t="shared" si="26"/>
        <v>0</v>
      </c>
      <c r="F54">
        <f t="shared" si="27"/>
        <v>0</v>
      </c>
      <c r="G54">
        <f t="shared" si="28"/>
        <v>0</v>
      </c>
      <c r="H54" s="135" t="s">
        <v>203</v>
      </c>
      <c r="I54" s="161">
        <f t="shared" si="29"/>
        <v>0</v>
      </c>
      <c r="J54" s="160"/>
      <c r="K54" t="str">
        <f t="shared" si="30"/>
        <v>mg/kg ds</v>
      </c>
      <c r="M54">
        <v>0</v>
      </c>
      <c r="N54">
        <v>0</v>
      </c>
      <c r="O54">
        <v>1</v>
      </c>
      <c r="P54">
        <f t="shared" si="31"/>
        <v>2</v>
      </c>
      <c r="Q54">
        <f t="shared" si="32"/>
        <v>2</v>
      </c>
      <c r="R54">
        <f t="shared" si="33"/>
        <v>2</v>
      </c>
    </row>
    <row r="55" spans="2:18" x14ac:dyDescent="0.25">
      <c r="B55" s="135" t="str">
        <f>Invoertabblad!B58</f>
        <v>PCB138</v>
      </c>
      <c r="C55">
        <f>Invoertabblad!D58</f>
        <v>0</v>
      </c>
      <c r="D55">
        <f>Invoertabblad!E58</f>
        <v>0</v>
      </c>
      <c r="E55" t="b">
        <f t="shared" si="26"/>
        <v>0</v>
      </c>
      <c r="F55">
        <f t="shared" si="27"/>
        <v>0</v>
      </c>
      <c r="G55">
        <f t="shared" si="28"/>
        <v>0</v>
      </c>
      <c r="H55" s="135" t="s">
        <v>203</v>
      </c>
      <c r="I55" s="161">
        <f t="shared" si="29"/>
        <v>0</v>
      </c>
      <c r="J55" s="160"/>
      <c r="K55" t="str">
        <f t="shared" si="30"/>
        <v>mg/kg ds</v>
      </c>
      <c r="M55">
        <v>0</v>
      </c>
      <c r="N55">
        <v>0</v>
      </c>
      <c r="O55">
        <v>1</v>
      </c>
      <c r="P55">
        <f t="shared" si="31"/>
        <v>2</v>
      </c>
      <c r="Q55">
        <f t="shared" si="32"/>
        <v>2</v>
      </c>
      <c r="R55">
        <f t="shared" si="33"/>
        <v>2</v>
      </c>
    </row>
    <row r="56" spans="2:18" x14ac:dyDescent="0.25">
      <c r="B56" s="135" t="str">
        <f>Invoertabblad!B59</f>
        <v>PCB153</v>
      </c>
      <c r="C56">
        <f>Invoertabblad!D59</f>
        <v>0</v>
      </c>
      <c r="D56">
        <f>Invoertabblad!E59</f>
        <v>0</v>
      </c>
      <c r="E56" t="b">
        <f t="shared" si="26"/>
        <v>0</v>
      </c>
      <c r="F56">
        <f t="shared" si="27"/>
        <v>0</v>
      </c>
      <c r="G56">
        <f t="shared" si="28"/>
        <v>0</v>
      </c>
      <c r="H56" s="135" t="s">
        <v>203</v>
      </c>
      <c r="I56" s="161">
        <f t="shared" si="29"/>
        <v>0</v>
      </c>
      <c r="J56" s="160"/>
      <c r="K56" t="str">
        <f t="shared" si="30"/>
        <v>mg/kg ds</v>
      </c>
      <c r="M56">
        <v>0</v>
      </c>
      <c r="N56">
        <v>0</v>
      </c>
      <c r="O56">
        <v>1</v>
      </c>
      <c r="P56">
        <f t="shared" si="31"/>
        <v>2</v>
      </c>
      <c r="Q56">
        <f t="shared" si="32"/>
        <v>2</v>
      </c>
      <c r="R56">
        <f t="shared" si="33"/>
        <v>2</v>
      </c>
    </row>
    <row r="57" spans="2:18" x14ac:dyDescent="0.25">
      <c r="B57" s="135" t="str">
        <f>Invoertabblad!B60</f>
        <v>PCB180</v>
      </c>
      <c r="C57">
        <f>Invoertabblad!D60</f>
        <v>0</v>
      </c>
      <c r="D57">
        <f>Invoertabblad!E60</f>
        <v>0</v>
      </c>
      <c r="E57" t="b">
        <f t="shared" si="26"/>
        <v>0</v>
      </c>
      <c r="F57">
        <f t="shared" si="27"/>
        <v>0</v>
      </c>
      <c r="G57">
        <f t="shared" si="28"/>
        <v>0</v>
      </c>
      <c r="H57" s="135" t="s">
        <v>203</v>
      </c>
      <c r="I57" s="161">
        <f t="shared" si="29"/>
        <v>0</v>
      </c>
      <c r="J57" s="160"/>
      <c r="K57" t="str">
        <f t="shared" si="30"/>
        <v>mg/kg ds</v>
      </c>
      <c r="M57">
        <v>0</v>
      </c>
      <c r="N57">
        <v>0</v>
      </c>
      <c r="O57">
        <v>1</v>
      </c>
      <c r="P57">
        <f t="shared" si="31"/>
        <v>2</v>
      </c>
      <c r="Q57">
        <f t="shared" si="32"/>
        <v>2</v>
      </c>
      <c r="R57">
        <f t="shared" si="33"/>
        <v>2</v>
      </c>
    </row>
    <row r="58" spans="2:18" x14ac:dyDescent="0.25">
      <c r="B58" t="str">
        <f>Invoertabblad!B61</f>
        <v>PCBs (som 7)</v>
      </c>
      <c r="C58">
        <f>Invoertabblad!D61</f>
        <v>0</v>
      </c>
      <c r="D58">
        <f>Invoertabblad!E61</f>
        <v>0</v>
      </c>
      <c r="E58" t="b">
        <f>IF(C58="&lt;",SUM(D58*0.7))</f>
        <v>0</v>
      </c>
      <c r="F58">
        <f>IF(E58="ONWAAR",D58,D58)</f>
        <v>0</v>
      </c>
      <c r="G58">
        <f>IF(C58="&lt;",E58,F58)</f>
        <v>0</v>
      </c>
      <c r="H58" s="135" t="s">
        <v>203</v>
      </c>
      <c r="I58" s="161">
        <f>D58*(((M58+N58*25)+(O58*10))/((M58+N58*P58)+(O58*R58)))</f>
        <v>0</v>
      </c>
      <c r="J58" s="151"/>
      <c r="K58" t="str">
        <f>H58</f>
        <v>mg/kg ds</v>
      </c>
      <c r="M58">
        <v>0</v>
      </c>
      <c r="N58">
        <v>0</v>
      </c>
      <c r="O58">
        <v>1</v>
      </c>
      <c r="P58">
        <f t="shared" ref="P58:P71" si="34">MAX($D$12,2)</f>
        <v>2</v>
      </c>
      <c r="Q58">
        <f t="shared" ref="Q58:Q71" si="35">(MAX($D$13,2))</f>
        <v>2</v>
      </c>
      <c r="R58">
        <f>(MIN(Q58,30))</f>
        <v>2</v>
      </c>
    </row>
    <row r="59" spans="2:18" x14ac:dyDescent="0.25">
      <c r="B59" t="str">
        <f>Invoertabblad!B62</f>
        <v>Chloorbenzenen (som)</v>
      </c>
      <c r="C59">
        <f>Invoertabblad!D62</f>
        <v>0</v>
      </c>
      <c r="D59">
        <f>Invoertabblad!E62</f>
        <v>0</v>
      </c>
      <c r="E59" t="b">
        <f t="shared" si="26"/>
        <v>0</v>
      </c>
      <c r="F59">
        <f t="shared" si="27"/>
        <v>0</v>
      </c>
      <c r="G59">
        <f t="shared" si="28"/>
        <v>0</v>
      </c>
      <c r="H59" s="135" t="s">
        <v>203</v>
      </c>
      <c r="I59" s="161">
        <f t="shared" si="29"/>
        <v>0</v>
      </c>
      <c r="J59" s="151"/>
      <c r="K59" t="str">
        <f t="shared" si="30"/>
        <v>mg/kg ds</v>
      </c>
      <c r="M59">
        <v>0</v>
      </c>
      <c r="N59">
        <v>0</v>
      </c>
      <c r="O59">
        <v>1</v>
      </c>
      <c r="P59">
        <f t="shared" si="31"/>
        <v>2</v>
      </c>
      <c r="Q59">
        <f t="shared" si="32"/>
        <v>2</v>
      </c>
      <c r="R59">
        <f t="shared" si="33"/>
        <v>2</v>
      </c>
    </row>
    <row r="60" spans="2:18" x14ac:dyDescent="0.25">
      <c r="B60" t="str">
        <f>Invoertabblad!B63</f>
        <v>Pentachloorbenzeen</v>
      </c>
      <c r="C60">
        <f>Invoertabblad!D63</f>
        <v>0</v>
      </c>
      <c r="D60">
        <f>Invoertabblad!E63</f>
        <v>0</v>
      </c>
      <c r="E60" t="b">
        <f t="shared" si="26"/>
        <v>0</v>
      </c>
      <c r="F60">
        <f t="shared" si="27"/>
        <v>0</v>
      </c>
      <c r="G60">
        <f t="shared" si="28"/>
        <v>0</v>
      </c>
      <c r="H60" s="135" t="s">
        <v>203</v>
      </c>
      <c r="I60" s="161">
        <f>D60*(((M60+N60*25)+(O60*10))/((M60+N60*P60)+(O60*R60)))</f>
        <v>0</v>
      </c>
      <c r="J60" s="160"/>
      <c r="K60" t="str">
        <f t="shared" si="30"/>
        <v>mg/kg ds</v>
      </c>
      <c r="M60">
        <v>0</v>
      </c>
      <c r="N60">
        <v>0</v>
      </c>
      <c r="O60">
        <v>1</v>
      </c>
      <c r="P60">
        <f t="shared" si="34"/>
        <v>2</v>
      </c>
      <c r="Q60">
        <f t="shared" si="35"/>
        <v>2</v>
      </c>
      <c r="R60">
        <f>(MIN(Q60,30))</f>
        <v>2</v>
      </c>
    </row>
    <row r="61" spans="2:18" x14ac:dyDescent="0.25">
      <c r="B61" t="str">
        <f>Invoertabblad!B72</f>
        <v>Hexachloorbenzeen</v>
      </c>
      <c r="C61">
        <f>Invoertabblad!D72</f>
        <v>0</v>
      </c>
      <c r="D61">
        <f>Invoertabblad!E72</f>
        <v>0</v>
      </c>
      <c r="E61" t="b">
        <f t="shared" si="26"/>
        <v>0</v>
      </c>
      <c r="F61">
        <f t="shared" si="27"/>
        <v>0</v>
      </c>
      <c r="G61">
        <f t="shared" si="28"/>
        <v>0</v>
      </c>
      <c r="H61" s="135" t="s">
        <v>203</v>
      </c>
      <c r="I61" s="161">
        <f t="shared" ref="I61:I62" si="36">D61*(((M61+N61*25)+(O61*10))/((M61+N61*P61)+(O61*R61)))</f>
        <v>0</v>
      </c>
      <c r="J61" s="160"/>
      <c r="K61" t="str">
        <f t="shared" si="30"/>
        <v>mg/kg ds</v>
      </c>
      <c r="M61">
        <v>0</v>
      </c>
      <c r="N61">
        <v>0</v>
      </c>
      <c r="O61">
        <v>1</v>
      </c>
      <c r="P61">
        <f t="shared" ref="P61:P83" si="37">MAX($D$12,2)</f>
        <v>2</v>
      </c>
      <c r="Q61">
        <f t="shared" ref="Q61:Q83" si="38">(MAX($D$13,2))</f>
        <v>2</v>
      </c>
      <c r="R61">
        <f>(MIN(Q61,30))</f>
        <v>2</v>
      </c>
    </row>
    <row r="62" spans="2:18" x14ac:dyDescent="0.25">
      <c r="B62" t="str">
        <f>Invoertabblad!B64</f>
        <v>chloorfenolen (som)</v>
      </c>
      <c r="C62">
        <f>Invoertabblad!D64</f>
        <v>0</v>
      </c>
      <c r="D62">
        <f>Invoertabblad!E64</f>
        <v>0</v>
      </c>
      <c r="E62" t="b">
        <f t="shared" si="26"/>
        <v>0</v>
      </c>
      <c r="F62">
        <f t="shared" si="27"/>
        <v>0</v>
      </c>
      <c r="G62">
        <f t="shared" si="28"/>
        <v>0</v>
      </c>
      <c r="H62" s="135" t="s">
        <v>203</v>
      </c>
      <c r="I62" s="161">
        <f t="shared" si="36"/>
        <v>0</v>
      </c>
      <c r="J62" s="160"/>
      <c r="K62" t="str">
        <f t="shared" si="30"/>
        <v>mg/kg ds</v>
      </c>
      <c r="M62">
        <v>0</v>
      </c>
      <c r="N62">
        <v>0</v>
      </c>
      <c r="O62">
        <v>1</v>
      </c>
      <c r="P62">
        <f t="shared" si="37"/>
        <v>2</v>
      </c>
      <c r="Q62">
        <f t="shared" si="38"/>
        <v>2</v>
      </c>
      <c r="R62">
        <f>(MIN(Q62,30))</f>
        <v>2</v>
      </c>
    </row>
    <row r="63" spans="2:18" x14ac:dyDescent="0.25">
      <c r="B63" t="str">
        <f>Invoertabblad!B65</f>
        <v>Pentachloorfenol en de zouten en esters daarvan</v>
      </c>
      <c r="C63">
        <f>Invoertabblad!D65</f>
        <v>0</v>
      </c>
      <c r="D63">
        <f>Invoertabblad!E65</f>
        <v>0</v>
      </c>
      <c r="E63" t="b">
        <f t="shared" si="26"/>
        <v>0</v>
      </c>
      <c r="F63">
        <f t="shared" si="27"/>
        <v>0</v>
      </c>
      <c r="G63">
        <f t="shared" si="28"/>
        <v>0</v>
      </c>
      <c r="H63" s="135" t="s">
        <v>203</v>
      </c>
      <c r="I63" s="161">
        <f t="shared" ref="I63" si="39">D63*(((M63+N63*25)+(O63*10))/((M63+N63*P63)+(O63*R63)))</f>
        <v>0</v>
      </c>
      <c r="J63" s="160"/>
      <c r="K63" t="str">
        <f>H63</f>
        <v>mg/kg ds</v>
      </c>
      <c r="M63">
        <v>0</v>
      </c>
      <c r="N63">
        <v>0</v>
      </c>
      <c r="O63">
        <v>1</v>
      </c>
      <c r="P63">
        <f t="shared" ref="P63" si="40">MAX($D$12,2)</f>
        <v>2</v>
      </c>
      <c r="Q63">
        <f t="shared" ref="Q63" si="41">(MAX($D$13,2))</f>
        <v>2</v>
      </c>
      <c r="R63">
        <f t="shared" ref="R63" si="42">(MIN(Q63,30))</f>
        <v>2</v>
      </c>
    </row>
    <row r="65" spans="2:20" x14ac:dyDescent="0.25">
      <c r="B65" s="25" t="str">
        <f>Invoertabblad!B67</f>
        <v xml:space="preserve">Bestrijdingsmiddelen </v>
      </c>
      <c r="C65" s="25" t="s">
        <v>454</v>
      </c>
      <c r="D65" s="25" t="str">
        <f>D15</f>
        <v>Gehalte</v>
      </c>
      <c r="E65" s="25"/>
      <c r="F65" s="25"/>
      <c r="G65" s="25"/>
      <c r="H65" s="25" t="str">
        <f>EURAL!E69</f>
        <v>mg/kg ds</v>
      </c>
      <c r="I65" s="25" t="s">
        <v>428</v>
      </c>
      <c r="J65" s="25"/>
      <c r="K65" s="25" t="str">
        <f>H65</f>
        <v>mg/kg ds</v>
      </c>
    </row>
    <row r="66" spans="2:20" x14ac:dyDescent="0.25">
      <c r="B66" t="str">
        <f>Invoertabblad!B83</f>
        <v>Chloordaan (chloordaan (som) kan hiervoor worden ingevuld)</v>
      </c>
      <c r="C66">
        <f>Invoertabblad!D83</f>
        <v>0</v>
      </c>
      <c r="D66">
        <f>Invoertabblad!E83</f>
        <v>0</v>
      </c>
      <c r="E66" t="b">
        <f>IF(C66="&lt;",SUM(D66*0.7))</f>
        <v>0</v>
      </c>
      <c r="F66">
        <f>IF(E66="ONWAAR",D66,D66)</f>
        <v>0</v>
      </c>
      <c r="G66">
        <f>IF(C66="&lt;",E66,F66)</f>
        <v>0</v>
      </c>
      <c r="H66" s="135" t="s">
        <v>203</v>
      </c>
      <c r="I66" s="161">
        <f>D66*(((M66+N66*25)+(O66*10))/((M66+N66*P66)+(O66*R66)))</f>
        <v>0</v>
      </c>
      <c r="J66" s="161"/>
      <c r="K66" t="str">
        <f>H66</f>
        <v>mg/kg ds</v>
      </c>
      <c r="M66">
        <v>0</v>
      </c>
      <c r="N66">
        <v>0</v>
      </c>
      <c r="O66">
        <v>1</v>
      </c>
      <c r="P66">
        <f t="shared" si="37"/>
        <v>2</v>
      </c>
      <c r="Q66">
        <f t="shared" si="38"/>
        <v>2</v>
      </c>
      <c r="R66">
        <f>(MIN(Q66,30))</f>
        <v>2</v>
      </c>
    </row>
    <row r="67" spans="2:20" x14ac:dyDescent="0.25">
      <c r="B67" t="str">
        <f>Invoertabblad!B84</f>
        <v>DDT</v>
      </c>
      <c r="C67">
        <f>Invoertabblad!D84</f>
        <v>0</v>
      </c>
      <c r="D67">
        <f>Invoertabblad!E84</f>
        <v>0</v>
      </c>
      <c r="E67" t="b">
        <f>IF(C67="&lt;",SUM(D67*0.7))</f>
        <v>0</v>
      </c>
      <c r="F67">
        <f>IF(E67="ONWAAR",D67,D67)</f>
        <v>0</v>
      </c>
      <c r="G67">
        <f>IF(C67="&lt;",E67,F67)</f>
        <v>0</v>
      </c>
      <c r="H67" s="135" t="s">
        <v>203</v>
      </c>
      <c r="I67" s="161">
        <f>D67*(((M67+N67*25)+(O67*10))/((M67+N67*P67)+(O67*R67)))</f>
        <v>0</v>
      </c>
      <c r="J67" s="161"/>
      <c r="K67" t="str">
        <f>H67</f>
        <v>mg/kg ds</v>
      </c>
      <c r="M67">
        <v>0</v>
      </c>
      <c r="N67">
        <v>0</v>
      </c>
      <c r="O67">
        <v>1</v>
      </c>
      <c r="P67">
        <f t="shared" si="37"/>
        <v>2</v>
      </c>
      <c r="Q67">
        <f t="shared" si="38"/>
        <v>2</v>
      </c>
      <c r="R67">
        <f>(MIN(Q67,30))</f>
        <v>2</v>
      </c>
    </row>
    <row r="68" spans="2:20" x14ac:dyDescent="0.25">
      <c r="B68" t="str">
        <f>Invoertabblad!B85</f>
        <v xml:space="preserve">DDE of 2,2-bis(p-chlorophenyl)-1,1-dichloroethylene </v>
      </c>
      <c r="C68">
        <f>Invoertabblad!D74</f>
        <v>0</v>
      </c>
      <c r="D68">
        <f>Invoertabblad!E85</f>
        <v>0</v>
      </c>
      <c r="E68" t="b">
        <f>IF(C68="&lt;",SUM(D68*0.7))</f>
        <v>0</v>
      </c>
      <c r="F68">
        <f>IF(E68="ONWAAR",D68,D68)</f>
        <v>0</v>
      </c>
      <c r="G68">
        <f>IF(C68="&lt;",E68,F68)</f>
        <v>0</v>
      </c>
      <c r="H68" s="135" t="s">
        <v>203</v>
      </c>
      <c r="I68" s="161">
        <f>D68*(((M68+N68*25)+(O68*10))/((M68+N68*P68)+(O68*R68)))</f>
        <v>0</v>
      </c>
      <c r="J68" s="161"/>
      <c r="K68" t="str">
        <f>H68</f>
        <v>mg/kg ds</v>
      </c>
      <c r="M68">
        <v>0</v>
      </c>
      <c r="N68">
        <v>0</v>
      </c>
      <c r="O68">
        <v>1</v>
      </c>
      <c r="P68">
        <f t="shared" ref="P68:P91" si="43">MAX($D$12,2)</f>
        <v>2</v>
      </c>
      <c r="Q68">
        <f t="shared" ref="Q68:Q91" si="44">(MAX($D$13,2))</f>
        <v>2</v>
      </c>
      <c r="R68">
        <f>(MIN(Q68,30))</f>
        <v>2</v>
      </c>
    </row>
    <row r="69" spans="2:20" x14ac:dyDescent="0.25">
      <c r="B69" t="str">
        <f>Invoertabblad!B86</f>
        <v>DDD of dichlorodiphenyldichloroethane</v>
      </c>
      <c r="C69">
        <f>Invoertabblad!D85</f>
        <v>0</v>
      </c>
      <c r="D69">
        <f>Invoertabblad!E86</f>
        <v>0</v>
      </c>
      <c r="E69" t="b">
        <f>IF(C69="&lt;",SUM(D69*0.7))</f>
        <v>0</v>
      </c>
      <c r="F69">
        <f>IF(E69="ONWAAR",D69,D69)</f>
        <v>0</v>
      </c>
      <c r="G69">
        <f>IF(C69="&lt;",E69,F69)</f>
        <v>0</v>
      </c>
      <c r="H69" s="135" t="s">
        <v>203</v>
      </c>
      <c r="I69" s="161">
        <f>D69*(((M69+N69*25)+(O69*10))/((M69+N69*P69)+(O69*R69)))</f>
        <v>0</v>
      </c>
      <c r="J69" s="161"/>
      <c r="K69" t="str">
        <f>H69</f>
        <v>mg/kg ds</v>
      </c>
      <c r="M69">
        <v>0</v>
      </c>
      <c r="N69">
        <v>0</v>
      </c>
      <c r="O69">
        <v>1</v>
      </c>
      <c r="P69">
        <f t="shared" si="43"/>
        <v>2</v>
      </c>
      <c r="Q69">
        <f t="shared" si="44"/>
        <v>2</v>
      </c>
      <c r="R69">
        <f>(MIN(Q69,30))</f>
        <v>2</v>
      </c>
    </row>
    <row r="70" spans="2:20" x14ac:dyDescent="0.25">
      <c r="B70" t="str">
        <f>Invoertabblad!B89</f>
        <v>DDT/DDE/DDD(som)</v>
      </c>
      <c r="C70">
        <f>Invoertabblad!D89</f>
        <v>0</v>
      </c>
      <c r="D70">
        <f>Invoertabblad!E89</f>
        <v>0</v>
      </c>
      <c r="E70" t="b">
        <f t="shared" ref="E70" si="45">IF(C70="&lt;",SUM(D70*0.7))</f>
        <v>0</v>
      </c>
      <c r="F70">
        <f t="shared" ref="F70" si="46">IF(E70="ONWAAR",D70,D70)</f>
        <v>0</v>
      </c>
      <c r="G70">
        <f t="shared" ref="G70" si="47">IF(C70="&lt;",E70,F70)</f>
        <v>0</v>
      </c>
      <c r="H70" s="135" t="s">
        <v>203</v>
      </c>
      <c r="I70" s="161">
        <f>D70*(((M70+N70*25)+(O70*10))/((M70+N70*P70)+(O70*R70)))</f>
        <v>0</v>
      </c>
      <c r="J70" s="161"/>
      <c r="K70" s="135" t="s">
        <v>203</v>
      </c>
      <c r="M70">
        <v>0</v>
      </c>
      <c r="N70">
        <v>0</v>
      </c>
      <c r="O70">
        <v>1</v>
      </c>
      <c r="P70">
        <f t="shared" si="43"/>
        <v>2</v>
      </c>
      <c r="Q70">
        <f t="shared" si="44"/>
        <v>2</v>
      </c>
      <c r="R70">
        <f>(MIN(Q70,30))</f>
        <v>2</v>
      </c>
      <c r="T70" s="135"/>
    </row>
    <row r="71" spans="2:20" x14ac:dyDescent="0.25">
      <c r="B71" t="str">
        <f>Invoertabblad!B76</f>
        <v>Aldrin</v>
      </c>
      <c r="C71">
        <f>Invoertabblad!D76</f>
        <v>0</v>
      </c>
      <c r="D71">
        <f>Invoertabblad!E76</f>
        <v>0</v>
      </c>
      <c r="E71" t="b">
        <f>IF(C71="&lt;",SUM(D71*0.7))</f>
        <v>0</v>
      </c>
      <c r="F71">
        <f>IF(E71="ONWAAR",D71,D71)</f>
        <v>0</v>
      </c>
      <c r="G71">
        <f>IF(C71="&lt;",E71,F71)</f>
        <v>0</v>
      </c>
      <c r="H71" s="135" t="s">
        <v>203</v>
      </c>
      <c r="I71" s="161">
        <f t="shared" ref="I71" si="48">D71*(((M71+N71*25)+(O71*10))/((M71+N71*P71)+(O71*R71)))</f>
        <v>0</v>
      </c>
      <c r="J71" s="161"/>
      <c r="K71" t="str">
        <f>H71</f>
        <v>mg/kg ds</v>
      </c>
      <c r="M71">
        <v>0</v>
      </c>
      <c r="N71">
        <v>0</v>
      </c>
      <c r="O71">
        <v>1</v>
      </c>
      <c r="P71">
        <f t="shared" si="34"/>
        <v>2</v>
      </c>
      <c r="Q71">
        <f t="shared" si="35"/>
        <v>2</v>
      </c>
      <c r="R71">
        <f t="shared" ref="R71" si="49">(MIN(Q71,30))</f>
        <v>2</v>
      </c>
    </row>
    <row r="72" spans="2:20" x14ac:dyDescent="0.25">
      <c r="B72" t="str">
        <f>Invoertabblad!B77</f>
        <v>Dieldrin</v>
      </c>
      <c r="C72">
        <f>Invoertabblad!D77</f>
        <v>0</v>
      </c>
      <c r="D72">
        <f>Invoertabblad!E77</f>
        <v>0</v>
      </c>
      <c r="E72" t="b">
        <f>IF(C72="&lt;",SUM(D72*0.7))</f>
        <v>0</v>
      </c>
      <c r="F72">
        <f>IF(E72="ONWAAR",D72,D72)</f>
        <v>0</v>
      </c>
      <c r="G72">
        <f>IF(C72="&lt;",E72,F72)</f>
        <v>0</v>
      </c>
      <c r="H72" s="135" t="s">
        <v>203</v>
      </c>
      <c r="I72" s="161">
        <f>D72*(((M72+N72*25)+(O72*10))/((M72+N72*P72)+(O72*R72)))</f>
        <v>0</v>
      </c>
      <c r="J72" s="161"/>
      <c r="K72" t="str">
        <f>H72</f>
        <v>mg/kg ds</v>
      </c>
      <c r="M72">
        <v>0</v>
      </c>
      <c r="N72">
        <v>0</v>
      </c>
      <c r="O72">
        <v>1</v>
      </c>
      <c r="P72">
        <f t="shared" si="37"/>
        <v>2</v>
      </c>
      <c r="Q72">
        <f t="shared" si="38"/>
        <v>2</v>
      </c>
      <c r="R72">
        <f>(MIN(Q72,30))</f>
        <v>2</v>
      </c>
    </row>
    <row r="73" spans="2:20" x14ac:dyDescent="0.25">
      <c r="B73" t="str">
        <f>Invoertabblad!B78</f>
        <v>Endrin</v>
      </c>
      <c r="C73">
        <f>Invoertabblad!D78</f>
        <v>0</v>
      </c>
      <c r="D73">
        <f>Invoertabblad!E78</f>
        <v>0</v>
      </c>
      <c r="E73" t="b">
        <f>IF(C73="&lt;",SUM(D73*0.7))</f>
        <v>0</v>
      </c>
      <c r="F73">
        <f>IF(E73="ONWAAR",D73,D73)</f>
        <v>0</v>
      </c>
      <c r="G73">
        <f>IF(C73="&lt;",E73,F73)</f>
        <v>0</v>
      </c>
      <c r="H73" s="135" t="s">
        <v>203</v>
      </c>
      <c r="I73" s="161">
        <f>D73*(((M73+N73*25)+(O73*10))/((M73+N73*P73)+(O73*R73)))</f>
        <v>0</v>
      </c>
      <c r="J73" s="161"/>
      <c r="K73" t="str">
        <f>H73</f>
        <v>mg/kg ds</v>
      </c>
      <c r="M73">
        <v>0</v>
      </c>
      <c r="N73">
        <v>0</v>
      </c>
      <c r="O73">
        <v>1</v>
      </c>
      <c r="P73">
        <f t="shared" si="37"/>
        <v>2</v>
      </c>
      <c r="Q73">
        <f t="shared" si="38"/>
        <v>2</v>
      </c>
      <c r="R73">
        <f>(MIN(Q73,30))</f>
        <v>2</v>
      </c>
    </row>
    <row r="74" spans="2:20" x14ac:dyDescent="0.25">
      <c r="B74" t="str">
        <f>Invoertabblad!B79</f>
        <v>Isodrin</v>
      </c>
      <c r="C74">
        <f>Invoertabblad!D79</f>
        <v>0</v>
      </c>
      <c r="D74">
        <f>Invoertabblad!E79</f>
        <v>0</v>
      </c>
      <c r="E74" t="b">
        <f>IF(C74="&lt;",SUM(D74*0.7))</f>
        <v>0</v>
      </c>
      <c r="F74">
        <f>IF(E74="ONWAAR",D74,D74)</f>
        <v>0</v>
      </c>
      <c r="G74">
        <f>IF(C74="&lt;",E74,F74)</f>
        <v>0</v>
      </c>
      <c r="H74" s="135" t="s">
        <v>203</v>
      </c>
      <c r="I74" s="161">
        <f>D74*(((M74+N74*25)+(O74*10))/((M74+N74*P74)+(O74*R74)))</f>
        <v>0</v>
      </c>
      <c r="J74" s="161"/>
      <c r="K74" t="str">
        <f>H74</f>
        <v>mg/kg ds</v>
      </c>
      <c r="M74">
        <v>0</v>
      </c>
      <c r="N74">
        <v>0</v>
      </c>
      <c r="O74">
        <v>1</v>
      </c>
      <c r="P74">
        <f t="shared" si="43"/>
        <v>2</v>
      </c>
      <c r="Q74">
        <f t="shared" si="44"/>
        <v>2</v>
      </c>
      <c r="R74">
        <f>(MIN(Q74,30))</f>
        <v>2</v>
      </c>
    </row>
    <row r="75" spans="2:20" x14ac:dyDescent="0.25">
      <c r="B75" t="str">
        <f>Invoertabblad!B80</f>
        <v>Isobenzan of telodrin</v>
      </c>
      <c r="C75">
        <f>Invoertabblad!D80</f>
        <v>0</v>
      </c>
      <c r="D75">
        <f>Invoertabblad!E80</f>
        <v>0</v>
      </c>
      <c r="E75" t="b">
        <f>IF(C75="&lt;",SUM(D75*0.7))</f>
        <v>0</v>
      </c>
      <c r="F75">
        <f>IF(E75="ONWAAR",D75,D75)</f>
        <v>0</v>
      </c>
      <c r="G75">
        <f>IF(C75="&lt;",E75,F75)</f>
        <v>0</v>
      </c>
      <c r="H75" s="135" t="s">
        <v>203</v>
      </c>
      <c r="I75" s="161">
        <f>D75*(((M75+N75*25)+(O75*10))/((M75+N75*P75)+(O75*R75)))</f>
        <v>0</v>
      </c>
      <c r="J75" s="161"/>
      <c r="K75" t="str">
        <f>H75</f>
        <v>mg/kg ds</v>
      </c>
      <c r="M75">
        <v>0</v>
      </c>
      <c r="N75">
        <v>0</v>
      </c>
      <c r="O75">
        <v>1</v>
      </c>
      <c r="P75">
        <f t="shared" si="43"/>
        <v>2</v>
      </c>
      <c r="Q75">
        <f t="shared" si="44"/>
        <v>2</v>
      </c>
      <c r="R75">
        <f>(MIN(Q75,30))</f>
        <v>2</v>
      </c>
    </row>
    <row r="76" spans="2:20" x14ac:dyDescent="0.25">
      <c r="B76" t="str">
        <f>Invoertabblad!B88</f>
        <v>Drins (som)</v>
      </c>
      <c r="C76">
        <f>Invoertabblad!D88</f>
        <v>0</v>
      </c>
      <c r="D76">
        <f>Invoertabblad!E88</f>
        <v>0</v>
      </c>
      <c r="E76" t="b">
        <f t="shared" ref="E76:E86" si="50">IF(C76="&lt;",SUM(D76*0.7))</f>
        <v>0</v>
      </c>
      <c r="F76">
        <f t="shared" ref="F76:F86" si="51">IF(E76="ONWAAR",D76,D76)</f>
        <v>0</v>
      </c>
      <c r="G76">
        <f t="shared" ref="G76:G86" si="52">IF(C76="&lt;",E76,F76)</f>
        <v>0</v>
      </c>
      <c r="H76" s="135" t="s">
        <v>203</v>
      </c>
      <c r="I76" s="161">
        <f>D76*(((M76+N76*25)+(O76*10))/((M76+N76*P76)+(O76*R76)))</f>
        <v>0</v>
      </c>
      <c r="J76" s="161"/>
      <c r="K76" s="135" t="s">
        <v>203</v>
      </c>
      <c r="M76">
        <v>0</v>
      </c>
      <c r="N76">
        <v>0</v>
      </c>
      <c r="O76">
        <v>1</v>
      </c>
      <c r="P76">
        <f t="shared" si="43"/>
        <v>2</v>
      </c>
      <c r="Q76">
        <f t="shared" si="44"/>
        <v>2</v>
      </c>
      <c r="R76">
        <f>(MIN(Q76,30))</f>
        <v>2</v>
      </c>
      <c r="T76" s="135"/>
    </row>
    <row r="77" spans="2:20" x14ac:dyDescent="0.25">
      <c r="B77" t="str">
        <f>Invoertabblad!B81</f>
        <v>alfa-endosulfan</v>
      </c>
      <c r="C77">
        <f>Invoertabblad!D81</f>
        <v>0</v>
      </c>
      <c r="D77">
        <f>Invoertabblad!E81</f>
        <v>0</v>
      </c>
      <c r="E77" t="b">
        <f t="shared" si="50"/>
        <v>0</v>
      </c>
      <c r="F77">
        <f t="shared" si="51"/>
        <v>0</v>
      </c>
      <c r="G77">
        <f t="shared" si="52"/>
        <v>0</v>
      </c>
      <c r="H77" s="135" t="s">
        <v>203</v>
      </c>
      <c r="I77" s="161">
        <f t="shared" ref="I77:I81" si="53">D77*(((M77+N77*25)+(O77*10))/((M77+N77*P77)+(O77*R77)))</f>
        <v>0</v>
      </c>
      <c r="J77" s="161"/>
      <c r="K77" s="135" t="s">
        <v>203</v>
      </c>
      <c r="M77">
        <v>0</v>
      </c>
      <c r="N77">
        <v>0</v>
      </c>
      <c r="O77">
        <v>1</v>
      </c>
      <c r="P77">
        <f t="shared" si="43"/>
        <v>2</v>
      </c>
      <c r="Q77">
        <f t="shared" si="44"/>
        <v>2</v>
      </c>
      <c r="R77">
        <f t="shared" ref="R77:R81" si="54">(MIN(Q77,30))</f>
        <v>2</v>
      </c>
    </row>
    <row r="78" spans="2:20" x14ac:dyDescent="0.25">
      <c r="B78" t="str">
        <f>Invoertabblad!B68</f>
        <v>alfa-HCH</v>
      </c>
      <c r="C78">
        <f>Invoertabblad!D68</f>
        <v>0</v>
      </c>
      <c r="D78">
        <f>Invoertabblad!E68</f>
        <v>0</v>
      </c>
      <c r="E78" t="b">
        <f t="shared" si="50"/>
        <v>0</v>
      </c>
      <c r="F78">
        <f t="shared" si="51"/>
        <v>0</v>
      </c>
      <c r="G78">
        <f t="shared" si="52"/>
        <v>0</v>
      </c>
      <c r="H78" s="135" t="s">
        <v>203</v>
      </c>
      <c r="I78" s="161">
        <f t="shared" si="53"/>
        <v>0</v>
      </c>
      <c r="J78" s="161"/>
      <c r="K78" s="135" t="s">
        <v>203</v>
      </c>
      <c r="M78">
        <v>0</v>
      </c>
      <c r="N78">
        <v>0</v>
      </c>
      <c r="O78">
        <v>1</v>
      </c>
      <c r="P78">
        <f t="shared" si="43"/>
        <v>2</v>
      </c>
      <c r="Q78">
        <f t="shared" si="44"/>
        <v>2</v>
      </c>
      <c r="R78">
        <f t="shared" si="54"/>
        <v>2</v>
      </c>
    </row>
    <row r="79" spans="2:20" x14ac:dyDescent="0.25">
      <c r="B79" t="str">
        <f>Invoertabblad!B69</f>
        <v>beta-HCH</v>
      </c>
      <c r="C79">
        <f>Invoertabblad!D69</f>
        <v>0</v>
      </c>
      <c r="D79">
        <f>Invoertabblad!E69</f>
        <v>0</v>
      </c>
      <c r="E79" t="b">
        <f t="shared" si="50"/>
        <v>0</v>
      </c>
      <c r="F79">
        <f t="shared" si="51"/>
        <v>0</v>
      </c>
      <c r="G79">
        <f t="shared" si="52"/>
        <v>0</v>
      </c>
      <c r="H79" s="135" t="s">
        <v>203</v>
      </c>
      <c r="I79" s="161">
        <f t="shared" si="53"/>
        <v>0</v>
      </c>
      <c r="J79" s="161"/>
      <c r="K79" s="135" t="s">
        <v>203</v>
      </c>
      <c r="M79">
        <v>0</v>
      </c>
      <c r="N79">
        <v>0</v>
      </c>
      <c r="O79">
        <v>1</v>
      </c>
      <c r="P79">
        <f t="shared" si="43"/>
        <v>2</v>
      </c>
      <c r="Q79">
        <f t="shared" si="44"/>
        <v>2</v>
      </c>
      <c r="R79">
        <f t="shared" si="54"/>
        <v>2</v>
      </c>
    </row>
    <row r="80" spans="2:20" x14ac:dyDescent="0.25">
      <c r="B80" t="str">
        <f>Invoertabblad!B71</f>
        <v>delta-HCH</v>
      </c>
      <c r="C80">
        <f>Invoertabblad!D71</f>
        <v>0</v>
      </c>
      <c r="D80">
        <f>Invoertabblad!E71</f>
        <v>0</v>
      </c>
      <c r="E80" t="b">
        <f t="shared" si="50"/>
        <v>0</v>
      </c>
      <c r="F80">
        <f t="shared" si="51"/>
        <v>0</v>
      </c>
      <c r="G80">
        <f t="shared" si="52"/>
        <v>0</v>
      </c>
      <c r="H80" s="135" t="s">
        <v>203</v>
      </c>
      <c r="I80" s="161">
        <f t="shared" si="53"/>
        <v>0</v>
      </c>
      <c r="J80" s="161"/>
      <c r="K80" s="135" t="s">
        <v>203</v>
      </c>
      <c r="M80">
        <v>0</v>
      </c>
      <c r="N80">
        <v>0</v>
      </c>
      <c r="O80">
        <v>1</v>
      </c>
      <c r="P80">
        <f t="shared" si="43"/>
        <v>2</v>
      </c>
      <c r="Q80">
        <f t="shared" si="44"/>
        <v>2</v>
      </c>
      <c r="R80">
        <f t="shared" si="54"/>
        <v>2</v>
      </c>
    </row>
    <row r="81" spans="2:18" x14ac:dyDescent="0.25">
      <c r="B81" t="str">
        <f>Invoertabblad!B70</f>
        <v>gamma-HCH</v>
      </c>
      <c r="C81">
        <f>Invoertabblad!D70</f>
        <v>0</v>
      </c>
      <c r="D81">
        <f>Invoertabblad!E70</f>
        <v>0</v>
      </c>
      <c r="E81" t="b">
        <f t="shared" si="50"/>
        <v>0</v>
      </c>
      <c r="F81">
        <f t="shared" si="51"/>
        <v>0</v>
      </c>
      <c r="G81">
        <f t="shared" si="52"/>
        <v>0</v>
      </c>
      <c r="H81" s="135" t="s">
        <v>203</v>
      </c>
      <c r="I81" s="161">
        <f t="shared" si="53"/>
        <v>0</v>
      </c>
      <c r="J81" s="161"/>
      <c r="K81" s="135" t="s">
        <v>203</v>
      </c>
      <c r="M81">
        <v>0</v>
      </c>
      <c r="N81">
        <v>0</v>
      </c>
      <c r="O81">
        <v>1</v>
      </c>
      <c r="P81">
        <f t="shared" si="43"/>
        <v>2</v>
      </c>
      <c r="Q81">
        <f t="shared" si="44"/>
        <v>2</v>
      </c>
      <c r="R81">
        <f t="shared" si="54"/>
        <v>2</v>
      </c>
    </row>
    <row r="82" spans="2:18" x14ac:dyDescent="0.25">
      <c r="B82" t="str">
        <f>Invoertabblad!B87</f>
        <v>HCH (alle hexachloorcyclohexanen, inclusief lindaan)</v>
      </c>
      <c r="C82">
        <f>Invoertabblad!D87</f>
        <v>0</v>
      </c>
      <c r="D82">
        <f>Invoertabblad!E87</f>
        <v>0</v>
      </c>
      <c r="E82" t="b">
        <f t="shared" si="50"/>
        <v>0</v>
      </c>
      <c r="F82">
        <f t="shared" si="51"/>
        <v>0</v>
      </c>
      <c r="G82">
        <f t="shared" si="52"/>
        <v>0</v>
      </c>
      <c r="H82" s="135" t="s">
        <v>203</v>
      </c>
      <c r="I82" s="161">
        <f>D82*(((M82+N82*25)+(O82*10))/((M82+N82*P82)+(O82*R82)))</f>
        <v>0</v>
      </c>
      <c r="J82" s="161"/>
      <c r="K82" t="str">
        <f t="shared" ref="K82:K87" si="55">H82</f>
        <v>mg/kg ds</v>
      </c>
      <c r="M82">
        <v>0</v>
      </c>
      <c r="N82">
        <v>0</v>
      </c>
      <c r="O82">
        <v>1</v>
      </c>
      <c r="P82">
        <f t="shared" si="37"/>
        <v>2</v>
      </c>
      <c r="Q82">
        <f t="shared" si="38"/>
        <v>2</v>
      </c>
      <c r="R82">
        <f>(MIN(Q82,30))</f>
        <v>2</v>
      </c>
    </row>
    <row r="83" spans="2:18" x14ac:dyDescent="0.25">
      <c r="B83" t="str">
        <f>Invoertabblad!B73</f>
        <v>Heptachloor</v>
      </c>
      <c r="C83">
        <f>Invoertabblad!D73</f>
        <v>0</v>
      </c>
      <c r="D83">
        <f>Invoertabblad!E73</f>
        <v>0</v>
      </c>
      <c r="E83" t="b">
        <f t="shared" si="50"/>
        <v>0</v>
      </c>
      <c r="F83">
        <f t="shared" si="51"/>
        <v>0</v>
      </c>
      <c r="G83">
        <f t="shared" si="52"/>
        <v>0</v>
      </c>
      <c r="H83" s="135" t="s">
        <v>203</v>
      </c>
      <c r="I83" s="161">
        <f t="shared" ref="I83" si="56">D83*(((M83+N83*25)+(O83*10))/((M83+N83*P83)+(O83*R83)))</f>
        <v>0</v>
      </c>
      <c r="J83" s="161"/>
      <c r="K83" t="str">
        <f t="shared" si="55"/>
        <v>mg/kg ds</v>
      </c>
      <c r="M83">
        <v>0</v>
      </c>
      <c r="N83">
        <v>0</v>
      </c>
      <c r="O83">
        <v>1</v>
      </c>
      <c r="P83">
        <f t="shared" si="37"/>
        <v>2</v>
      </c>
      <c r="Q83">
        <f t="shared" si="38"/>
        <v>2</v>
      </c>
      <c r="R83">
        <f t="shared" ref="R83" si="57">(MIN(Q83,30))</f>
        <v>2</v>
      </c>
    </row>
    <row r="84" spans="2:18" x14ac:dyDescent="0.25">
      <c r="B84" t="str">
        <f>Invoertabblad!B74</f>
        <v>Heptachloorepoxide</v>
      </c>
      <c r="C84">
        <f>Invoertabblad!D74</f>
        <v>0</v>
      </c>
      <c r="D84">
        <f>Invoertabblad!E74</f>
        <v>0</v>
      </c>
      <c r="E84" t="b">
        <f t="shared" si="50"/>
        <v>0</v>
      </c>
      <c r="F84">
        <f t="shared" si="51"/>
        <v>0</v>
      </c>
      <c r="G84">
        <f t="shared" si="52"/>
        <v>0</v>
      </c>
      <c r="H84" s="135" t="s">
        <v>203</v>
      </c>
      <c r="I84" s="161">
        <f>D84*(((M84+N84*25)+(O84*10))/((M84+N84*P84)+(O84*R84)))</f>
        <v>0</v>
      </c>
      <c r="J84" s="161"/>
      <c r="K84" t="str">
        <f t="shared" si="55"/>
        <v>mg/kg ds</v>
      </c>
      <c r="M84">
        <v>0</v>
      </c>
      <c r="N84">
        <v>0</v>
      </c>
      <c r="O84">
        <v>1</v>
      </c>
      <c r="P84">
        <f t="shared" si="43"/>
        <v>2</v>
      </c>
      <c r="Q84">
        <f t="shared" si="44"/>
        <v>2</v>
      </c>
      <c r="R84">
        <f>(MIN(Q84,30))</f>
        <v>2</v>
      </c>
    </row>
    <row r="85" spans="2:18" x14ac:dyDescent="0.25">
      <c r="B85" t="str">
        <f>Invoertabblad!B75</f>
        <v>Hexachloorbutadieen</v>
      </c>
      <c r="C85">
        <f>Invoertabblad!D75</f>
        <v>0</v>
      </c>
      <c r="D85">
        <f>Invoertabblad!E75</f>
        <v>0</v>
      </c>
      <c r="E85" t="b">
        <f t="shared" si="50"/>
        <v>0</v>
      </c>
      <c r="F85">
        <f t="shared" si="51"/>
        <v>0</v>
      </c>
      <c r="G85">
        <f t="shared" si="52"/>
        <v>0</v>
      </c>
      <c r="H85" s="135" t="s">
        <v>203</v>
      </c>
      <c r="I85" s="161">
        <f>D85*(((M85+N85*25)+(O85*10))/((M85+N85*P85)+(O85*R85)))</f>
        <v>0</v>
      </c>
      <c r="J85" s="161"/>
      <c r="K85" t="str">
        <f t="shared" si="55"/>
        <v>mg/kg ds</v>
      </c>
      <c r="M85">
        <v>0</v>
      </c>
      <c r="N85">
        <v>0</v>
      </c>
      <c r="O85">
        <v>1</v>
      </c>
      <c r="P85">
        <f>MAX($D$12,2)</f>
        <v>2</v>
      </c>
      <c r="Q85">
        <f>(MAX($D$13,2))</f>
        <v>2</v>
      </c>
      <c r="R85">
        <f>(MIN(Q85,30))</f>
        <v>2</v>
      </c>
    </row>
    <row r="86" spans="2:18" x14ac:dyDescent="0.25">
      <c r="B86" t="str">
        <f>Invoertabblad!B82</f>
        <v>Enodsulfansulfaat</v>
      </c>
      <c r="C86">
        <f>Invoertabblad!D82</f>
        <v>0</v>
      </c>
      <c r="D86">
        <f>Invoertabblad!E82</f>
        <v>0</v>
      </c>
      <c r="E86" t="b">
        <f t="shared" si="50"/>
        <v>0</v>
      </c>
      <c r="F86">
        <f t="shared" si="51"/>
        <v>0</v>
      </c>
      <c r="G86">
        <f t="shared" si="52"/>
        <v>0</v>
      </c>
      <c r="H86" s="135" t="s">
        <v>203</v>
      </c>
      <c r="I86" s="161">
        <f>D86*(((M86+N86*25)+(O86*10))/((M86+N86*P86)+(O86*R86)))</f>
        <v>0</v>
      </c>
      <c r="J86" s="161"/>
      <c r="K86" t="str">
        <f t="shared" si="55"/>
        <v>mg/kg ds</v>
      </c>
      <c r="M86">
        <v>0</v>
      </c>
      <c r="N86">
        <v>0</v>
      </c>
      <c r="O86">
        <v>1</v>
      </c>
      <c r="P86">
        <f>MAX($D$12,2)</f>
        <v>2</v>
      </c>
      <c r="Q86">
        <f>(MAX($D$13,2))</f>
        <v>2</v>
      </c>
      <c r="R86">
        <f>(MIN(Q86,30))</f>
        <v>2</v>
      </c>
    </row>
    <row r="87" spans="2:18" x14ac:dyDescent="0.25">
      <c r="B87" t="str">
        <f>Invoertabblad!B90</f>
        <v>OCB (som)</v>
      </c>
      <c r="C87">
        <f>Invoertabblad!D90</f>
        <v>0</v>
      </c>
      <c r="D87">
        <f>Invoertabblad!E90</f>
        <v>0</v>
      </c>
      <c r="E87" t="b">
        <f t="shared" ref="E87" si="58">IF(C87="&lt;",SUM(D87*0.7))</f>
        <v>0</v>
      </c>
      <c r="F87">
        <f t="shared" ref="F87" si="59">IF(E87="ONWAAR",D87,D87)</f>
        <v>0</v>
      </c>
      <c r="G87">
        <f t="shared" ref="G87" si="60">IF(C87="&lt;",E87,F87)</f>
        <v>0</v>
      </c>
      <c r="H87" s="135" t="s">
        <v>203</v>
      </c>
      <c r="I87" s="161">
        <f>D87*(((M87+N87*25)+(O87*10))/((M87+N87*P87)+(O87*R87)))</f>
        <v>0</v>
      </c>
      <c r="J87" s="161"/>
      <c r="K87" t="str">
        <f t="shared" si="55"/>
        <v>mg/kg ds</v>
      </c>
      <c r="M87">
        <v>0</v>
      </c>
      <c r="N87">
        <v>0</v>
      </c>
      <c r="O87">
        <v>1</v>
      </c>
      <c r="P87">
        <f>MAX($D$12,2)</f>
        <v>2</v>
      </c>
      <c r="Q87">
        <f>(MAX($D$13,2))</f>
        <v>2</v>
      </c>
      <c r="R87">
        <f>(MIN(Q87,30))</f>
        <v>2</v>
      </c>
    </row>
    <row r="89" spans="2:18" x14ac:dyDescent="0.25">
      <c r="B89" s="25" t="str">
        <f>Invoertabblad!B92</f>
        <v>Organotin bestrijdingsmiddelen</v>
      </c>
    </row>
    <row r="90" spans="2:18" x14ac:dyDescent="0.25">
      <c r="B90" t="str">
        <f>Invoertabblad!B93</f>
        <v>organotinverbindingen</v>
      </c>
      <c r="D90">
        <f>Invoertabblad!E93</f>
        <v>0</v>
      </c>
      <c r="E90" t="b">
        <f>IF(C90="&lt;",SUM(D90*0.7))</f>
        <v>0</v>
      </c>
      <c r="F90">
        <f>IF(E90="ONWAAR",D90,D90)</f>
        <v>0</v>
      </c>
      <c r="G90">
        <f>IF(C90="&lt;",E90,F90)</f>
        <v>0</v>
      </c>
      <c r="H90" s="135" t="s">
        <v>203</v>
      </c>
      <c r="I90" s="151">
        <f t="shared" ref="I90" si="61">D90*(((M90+N90*25)+(O90*10))/((M90+N90*P90)+(O90*R90)))</f>
        <v>0</v>
      </c>
      <c r="J90" s="151"/>
      <c r="K90" t="str">
        <f>H90</f>
        <v>mg/kg ds</v>
      </c>
      <c r="M90">
        <v>0</v>
      </c>
      <c r="N90">
        <v>0</v>
      </c>
      <c r="O90">
        <v>1</v>
      </c>
      <c r="P90">
        <f t="shared" si="43"/>
        <v>2</v>
      </c>
      <c r="Q90">
        <f t="shared" si="44"/>
        <v>2</v>
      </c>
      <c r="R90">
        <f t="shared" ref="R90:R91" si="62">(MIN(Q90,30))</f>
        <v>2</v>
      </c>
    </row>
    <row r="91" spans="2:18" x14ac:dyDescent="0.25">
      <c r="B91" t="str">
        <f>Invoertabblad!B94</f>
        <v>Tributyltin</v>
      </c>
      <c r="C91">
        <f>Invoertabblad!D86</f>
        <v>0</v>
      </c>
      <c r="D91">
        <f>Invoertabblad!E94</f>
        <v>0</v>
      </c>
      <c r="E91" t="b">
        <f>IF(C91="&lt;",SUM(D91*0.7))</f>
        <v>0</v>
      </c>
      <c r="F91">
        <f>IF(E91="ONWAAR",D91,D91)</f>
        <v>0</v>
      </c>
      <c r="G91">
        <f>IF(C91="&lt;",E91,F91)</f>
        <v>0</v>
      </c>
      <c r="H91" s="135" t="s">
        <v>203</v>
      </c>
      <c r="I91" s="151">
        <f t="shared" ref="I91" si="63">D91*(((M91+N91*25)+(O91*10))/((M91+N91*P91)+(O91*R91)))</f>
        <v>0</v>
      </c>
      <c r="J91" s="151"/>
      <c r="K91" t="str">
        <f>H91</f>
        <v>mg/kg ds</v>
      </c>
      <c r="M91">
        <v>0</v>
      </c>
      <c r="N91">
        <v>0</v>
      </c>
      <c r="O91">
        <v>1</v>
      </c>
      <c r="P91">
        <f t="shared" si="43"/>
        <v>2</v>
      </c>
      <c r="Q91">
        <f t="shared" si="44"/>
        <v>2</v>
      </c>
      <c r="R91">
        <f t="shared" si="62"/>
        <v>2</v>
      </c>
    </row>
    <row r="93" spans="2:18" x14ac:dyDescent="0.25">
      <c r="C93">
        <f>EURAL!C93</f>
        <v>0</v>
      </c>
    </row>
    <row r="94" spans="2:18" x14ac:dyDescent="0.25">
      <c r="B94" s="135" t="str">
        <f>Invoertabblad!B114</f>
        <v xml:space="preserve">PFAS verbindingen </v>
      </c>
      <c r="C94">
        <f>EURAL!C94</f>
        <v>0</v>
      </c>
    </row>
    <row r="95" spans="2:18" x14ac:dyDescent="0.25">
      <c r="B95" s="135" t="str">
        <f>Invoertabblad!B115</f>
        <v>Perfluorbutaanzuur (PFBA)</v>
      </c>
      <c r="C95">
        <f>Invoertabblad!D115</f>
        <v>0</v>
      </c>
      <c r="D95">
        <f>Invoertabblad!E115</f>
        <v>0</v>
      </c>
      <c r="H95" s="135" t="s">
        <v>400</v>
      </c>
      <c r="I95" s="151">
        <f>IF($D$13&gt;10.01,J95,D95)</f>
        <v>0</v>
      </c>
      <c r="J95" s="159">
        <f t="shared" ref="J95:J123" si="64">D95*(((M95+N95*25)+(O95*10))/((M95+N95*P95)+(O95*R95)))</f>
        <v>0</v>
      </c>
      <c r="K95" t="str">
        <f t="shared" ref="K95:K123" si="65">H95</f>
        <v>µg/kg ds</v>
      </c>
      <c r="M95">
        <v>0</v>
      </c>
      <c r="N95">
        <v>0</v>
      </c>
      <c r="O95">
        <v>1</v>
      </c>
      <c r="P95">
        <f>MAX($D$12,10)</f>
        <v>10</v>
      </c>
      <c r="Q95">
        <f>(MAX($D$13,2))</f>
        <v>2</v>
      </c>
      <c r="R95">
        <f>(MIN(Q95,30))</f>
        <v>2</v>
      </c>
    </row>
    <row r="96" spans="2:18" x14ac:dyDescent="0.25">
      <c r="B96" s="135" t="str">
        <f>Invoertabblad!B116</f>
        <v>Perfluorpentaanzuur (PFPeA)</v>
      </c>
      <c r="C96">
        <f>Invoertabblad!D116</f>
        <v>0</v>
      </c>
      <c r="D96">
        <f>Invoertabblad!E116</f>
        <v>0</v>
      </c>
      <c r="H96" s="135" t="s">
        <v>400</v>
      </c>
      <c r="I96" s="151">
        <f t="shared" ref="I96:I123" si="66">IF($D$13&gt;10.01,J96,D96)</f>
        <v>0</v>
      </c>
      <c r="J96" s="159">
        <f t="shared" si="64"/>
        <v>0</v>
      </c>
      <c r="K96" t="str">
        <f t="shared" si="65"/>
        <v>µg/kg ds</v>
      </c>
      <c r="M96">
        <v>0</v>
      </c>
      <c r="N96">
        <v>0</v>
      </c>
      <c r="O96">
        <v>1</v>
      </c>
      <c r="P96">
        <f t="shared" ref="P96:P123" si="67">MAX($D$12,10)</f>
        <v>10</v>
      </c>
      <c r="Q96">
        <f t="shared" ref="Q96:Q123" si="68">(MAX($D$13,2))</f>
        <v>2</v>
      </c>
      <c r="R96">
        <f t="shared" ref="R96:R123" si="69">(MIN(Q96,30))</f>
        <v>2</v>
      </c>
    </row>
    <row r="97" spans="2:18" x14ac:dyDescent="0.25">
      <c r="B97" s="135" t="str">
        <f>Invoertabblad!B117</f>
        <v>Perfluorhexaanzuur (PFHxA )</v>
      </c>
      <c r="C97">
        <f>Invoertabblad!D117</f>
        <v>0</v>
      </c>
      <c r="D97">
        <f>Invoertabblad!E117</f>
        <v>0</v>
      </c>
      <c r="H97" s="135" t="s">
        <v>400</v>
      </c>
      <c r="I97" s="151">
        <f t="shared" si="66"/>
        <v>0</v>
      </c>
      <c r="J97" s="159">
        <f t="shared" si="64"/>
        <v>0</v>
      </c>
      <c r="K97" t="str">
        <f t="shared" si="65"/>
        <v>µg/kg ds</v>
      </c>
      <c r="M97">
        <v>0</v>
      </c>
      <c r="N97">
        <v>0</v>
      </c>
      <c r="O97">
        <v>1</v>
      </c>
      <c r="P97">
        <f t="shared" si="67"/>
        <v>10</v>
      </c>
      <c r="Q97">
        <f t="shared" si="68"/>
        <v>2</v>
      </c>
      <c r="R97">
        <f t="shared" si="69"/>
        <v>2</v>
      </c>
    </row>
    <row r="98" spans="2:18" x14ac:dyDescent="0.25">
      <c r="B98" s="135" t="str">
        <f>Invoertabblad!B118</f>
        <v>Perfluorheptaanzuur (PFHpA)</v>
      </c>
      <c r="C98">
        <f>Invoertabblad!D118</f>
        <v>0</v>
      </c>
      <c r="D98">
        <f>Invoertabblad!E118</f>
        <v>0</v>
      </c>
      <c r="H98" s="135" t="s">
        <v>400</v>
      </c>
      <c r="I98" s="151">
        <f t="shared" si="66"/>
        <v>0</v>
      </c>
      <c r="J98" s="159">
        <f t="shared" si="64"/>
        <v>0</v>
      </c>
      <c r="K98" t="str">
        <f t="shared" si="65"/>
        <v>µg/kg ds</v>
      </c>
      <c r="M98">
        <v>0</v>
      </c>
      <c r="N98">
        <v>0</v>
      </c>
      <c r="O98">
        <v>1</v>
      </c>
      <c r="P98">
        <f t="shared" si="67"/>
        <v>10</v>
      </c>
      <c r="Q98">
        <f t="shared" si="68"/>
        <v>2</v>
      </c>
      <c r="R98">
        <f t="shared" si="69"/>
        <v>2</v>
      </c>
    </row>
    <row r="99" spans="2:18" x14ac:dyDescent="0.25">
      <c r="B99" s="135" t="str">
        <f>Invoertabblad!B119</f>
        <v>Perfluornonaanzuur (PFNA)</v>
      </c>
      <c r="C99">
        <f>Invoertabblad!D119</f>
        <v>0</v>
      </c>
      <c r="D99">
        <f>Invoertabblad!E119</f>
        <v>0</v>
      </c>
      <c r="H99" s="135" t="s">
        <v>400</v>
      </c>
      <c r="I99" s="151">
        <f t="shared" si="66"/>
        <v>0</v>
      </c>
      <c r="J99" s="159">
        <f t="shared" si="64"/>
        <v>0</v>
      </c>
      <c r="K99" t="str">
        <f t="shared" si="65"/>
        <v>µg/kg ds</v>
      </c>
      <c r="M99">
        <v>0</v>
      </c>
      <c r="N99">
        <v>0</v>
      </c>
      <c r="O99">
        <v>1</v>
      </c>
      <c r="P99">
        <f t="shared" si="67"/>
        <v>10</v>
      </c>
      <c r="Q99">
        <f t="shared" si="68"/>
        <v>2</v>
      </c>
      <c r="R99">
        <f t="shared" si="69"/>
        <v>2</v>
      </c>
    </row>
    <row r="100" spans="2:18" x14ac:dyDescent="0.25">
      <c r="B100" s="135" t="str">
        <f>Invoertabblad!B120</f>
        <v>Perfluordecaanzuur (PFDA)</v>
      </c>
      <c r="C100">
        <f>Invoertabblad!D120</f>
        <v>0</v>
      </c>
      <c r="D100">
        <f>Invoertabblad!E120</f>
        <v>0</v>
      </c>
      <c r="H100" s="135" t="s">
        <v>400</v>
      </c>
      <c r="I100" s="151">
        <f t="shared" si="66"/>
        <v>0</v>
      </c>
      <c r="J100" s="159">
        <f t="shared" si="64"/>
        <v>0</v>
      </c>
      <c r="K100" t="str">
        <f t="shared" si="65"/>
        <v>µg/kg ds</v>
      </c>
      <c r="M100">
        <v>0</v>
      </c>
      <c r="N100">
        <v>0</v>
      </c>
      <c r="O100">
        <v>1</v>
      </c>
      <c r="P100">
        <f t="shared" si="67"/>
        <v>10</v>
      </c>
      <c r="Q100">
        <f t="shared" si="68"/>
        <v>2</v>
      </c>
      <c r="R100">
        <f t="shared" si="69"/>
        <v>2</v>
      </c>
    </row>
    <row r="101" spans="2:18" x14ac:dyDescent="0.25">
      <c r="B101" s="135" t="str">
        <f>Invoertabblad!B121</f>
        <v>Perfluorundecaanzuur (PFUnDA)</v>
      </c>
      <c r="C101">
        <f>Invoertabblad!D121</f>
        <v>0</v>
      </c>
      <c r="D101">
        <f>Invoertabblad!E121</f>
        <v>0</v>
      </c>
      <c r="H101" s="135" t="s">
        <v>400</v>
      </c>
      <c r="I101" s="151">
        <f t="shared" si="66"/>
        <v>0</v>
      </c>
      <c r="J101" s="159">
        <f t="shared" si="64"/>
        <v>0</v>
      </c>
      <c r="K101" t="str">
        <f t="shared" si="65"/>
        <v>µg/kg ds</v>
      </c>
      <c r="M101">
        <v>0</v>
      </c>
      <c r="N101">
        <v>0</v>
      </c>
      <c r="O101">
        <v>1</v>
      </c>
      <c r="P101">
        <f t="shared" si="67"/>
        <v>10</v>
      </c>
      <c r="Q101">
        <f t="shared" si="68"/>
        <v>2</v>
      </c>
      <c r="R101">
        <f t="shared" si="69"/>
        <v>2</v>
      </c>
    </row>
    <row r="102" spans="2:18" x14ac:dyDescent="0.25">
      <c r="B102" s="135" t="str">
        <f>Invoertabblad!B122</f>
        <v>Perfluordodecaanzuur (PFDoDA)</v>
      </c>
      <c r="C102">
        <f>Invoertabblad!D122</f>
        <v>0</v>
      </c>
      <c r="D102">
        <f>Invoertabblad!E122</f>
        <v>0</v>
      </c>
      <c r="H102" s="135" t="s">
        <v>400</v>
      </c>
      <c r="I102" s="151">
        <f t="shared" si="66"/>
        <v>0</v>
      </c>
      <c r="J102" s="159">
        <f t="shared" si="64"/>
        <v>0</v>
      </c>
      <c r="K102" t="str">
        <f t="shared" si="65"/>
        <v>µg/kg ds</v>
      </c>
      <c r="M102">
        <v>0</v>
      </c>
      <c r="N102">
        <v>0</v>
      </c>
      <c r="O102">
        <v>1</v>
      </c>
      <c r="P102">
        <f t="shared" si="67"/>
        <v>10</v>
      </c>
      <c r="Q102">
        <f t="shared" si="68"/>
        <v>2</v>
      </c>
      <c r="R102">
        <f t="shared" si="69"/>
        <v>2</v>
      </c>
    </row>
    <row r="103" spans="2:18" x14ac:dyDescent="0.25">
      <c r="B103" s="135" t="str">
        <f>Invoertabblad!B123</f>
        <v>Perfluortridecaanzuur (PFTrDA)</v>
      </c>
      <c r="C103">
        <f>Invoertabblad!D123</f>
        <v>0</v>
      </c>
      <c r="D103">
        <f>Invoertabblad!E123</f>
        <v>0</v>
      </c>
      <c r="H103" s="135" t="s">
        <v>400</v>
      </c>
      <c r="I103" s="151">
        <f t="shared" si="66"/>
        <v>0</v>
      </c>
      <c r="J103" s="159">
        <f t="shared" si="64"/>
        <v>0</v>
      </c>
      <c r="K103" t="str">
        <f t="shared" si="65"/>
        <v>µg/kg ds</v>
      </c>
      <c r="M103">
        <v>0</v>
      </c>
      <c r="N103">
        <v>0</v>
      </c>
      <c r="O103">
        <v>1</v>
      </c>
      <c r="P103">
        <f t="shared" si="67"/>
        <v>10</v>
      </c>
      <c r="Q103">
        <f t="shared" si="68"/>
        <v>2</v>
      </c>
      <c r="R103">
        <f t="shared" si="69"/>
        <v>2</v>
      </c>
    </row>
    <row r="104" spans="2:18" x14ac:dyDescent="0.25">
      <c r="B104" s="135" t="str">
        <f>Invoertabblad!B124</f>
        <v>Perfluortetradecaanzuur (PFTeDA)</v>
      </c>
      <c r="C104">
        <f>Invoertabblad!D124</f>
        <v>0</v>
      </c>
      <c r="D104">
        <f>Invoertabblad!E124</f>
        <v>0</v>
      </c>
      <c r="H104" s="135" t="s">
        <v>400</v>
      </c>
      <c r="I104" s="151">
        <f t="shared" si="66"/>
        <v>0</v>
      </c>
      <c r="J104" s="159">
        <f t="shared" si="64"/>
        <v>0</v>
      </c>
      <c r="K104" t="str">
        <f t="shared" si="65"/>
        <v>µg/kg ds</v>
      </c>
      <c r="M104">
        <v>0</v>
      </c>
      <c r="N104">
        <v>0</v>
      </c>
      <c r="O104">
        <v>1</v>
      </c>
      <c r="P104">
        <f t="shared" si="67"/>
        <v>10</v>
      </c>
      <c r="Q104">
        <f t="shared" si="68"/>
        <v>2</v>
      </c>
      <c r="R104">
        <f t="shared" si="69"/>
        <v>2</v>
      </c>
    </row>
    <row r="105" spans="2:18" x14ac:dyDescent="0.25">
      <c r="B105" s="135" t="str">
        <f>Invoertabblad!B125</f>
        <v>Perfluorhexaandecaanzuur (PFHxDA)</v>
      </c>
      <c r="C105">
        <f>Invoertabblad!D125</f>
        <v>0</v>
      </c>
      <c r="D105">
        <f>Invoertabblad!E125</f>
        <v>0</v>
      </c>
      <c r="H105" s="135" t="s">
        <v>400</v>
      </c>
      <c r="I105" s="151">
        <f t="shared" si="66"/>
        <v>0</v>
      </c>
      <c r="J105" s="159">
        <f t="shared" si="64"/>
        <v>0</v>
      </c>
      <c r="K105" t="str">
        <f t="shared" si="65"/>
        <v>µg/kg ds</v>
      </c>
      <c r="M105">
        <v>0</v>
      </c>
      <c r="N105">
        <v>0</v>
      </c>
      <c r="O105">
        <v>1</v>
      </c>
      <c r="P105">
        <f t="shared" si="67"/>
        <v>10</v>
      </c>
      <c r="Q105">
        <f t="shared" si="68"/>
        <v>2</v>
      </c>
      <c r="R105">
        <f t="shared" si="69"/>
        <v>2</v>
      </c>
    </row>
    <row r="106" spans="2:18" x14ac:dyDescent="0.25">
      <c r="B106" s="135" t="str">
        <f>Invoertabblad!B126</f>
        <v>Perfluoroctadecaanzuur (PFODA)</v>
      </c>
      <c r="C106">
        <f>Invoertabblad!D126</f>
        <v>0</v>
      </c>
      <c r="D106">
        <f>Invoertabblad!E126</f>
        <v>0</v>
      </c>
      <c r="H106" s="135" t="s">
        <v>400</v>
      </c>
      <c r="I106" s="151">
        <f t="shared" si="66"/>
        <v>0</v>
      </c>
      <c r="J106" s="159">
        <f t="shared" si="64"/>
        <v>0</v>
      </c>
      <c r="K106" t="str">
        <f t="shared" si="65"/>
        <v>µg/kg ds</v>
      </c>
      <c r="M106">
        <v>0</v>
      </c>
      <c r="N106">
        <v>0</v>
      </c>
      <c r="O106">
        <v>1</v>
      </c>
      <c r="P106">
        <f t="shared" si="67"/>
        <v>10</v>
      </c>
      <c r="Q106">
        <f t="shared" si="68"/>
        <v>2</v>
      </c>
      <c r="R106">
        <f t="shared" si="69"/>
        <v>2</v>
      </c>
    </row>
    <row r="107" spans="2:18" x14ac:dyDescent="0.25">
      <c r="B107" s="135" t="str">
        <f>Invoertabblad!B127</f>
        <v>Perfluorbutaansulfonzuur (PFBS)</v>
      </c>
      <c r="C107">
        <f>Invoertabblad!D127</f>
        <v>0</v>
      </c>
      <c r="D107">
        <f>Invoertabblad!E127</f>
        <v>0</v>
      </c>
      <c r="H107" s="135" t="s">
        <v>400</v>
      </c>
      <c r="I107" s="151">
        <f t="shared" si="66"/>
        <v>0</v>
      </c>
      <c r="J107" s="159">
        <f t="shared" si="64"/>
        <v>0</v>
      </c>
      <c r="K107" t="str">
        <f t="shared" si="65"/>
        <v>µg/kg ds</v>
      </c>
      <c r="M107">
        <v>0</v>
      </c>
      <c r="N107">
        <v>0</v>
      </c>
      <c r="O107">
        <v>1</v>
      </c>
      <c r="P107">
        <f t="shared" si="67"/>
        <v>10</v>
      </c>
      <c r="Q107">
        <f t="shared" si="68"/>
        <v>2</v>
      </c>
      <c r="R107">
        <f t="shared" si="69"/>
        <v>2</v>
      </c>
    </row>
    <row r="108" spans="2:18" x14ac:dyDescent="0.25">
      <c r="B108" s="135" t="str">
        <f>Invoertabblad!B128</f>
        <v>Perfluorpentaansulfonzuur (PFPeS)</v>
      </c>
      <c r="C108">
        <f>Invoertabblad!D128</f>
        <v>0</v>
      </c>
      <c r="D108">
        <f>Invoertabblad!E128</f>
        <v>0</v>
      </c>
      <c r="H108" s="135" t="s">
        <v>400</v>
      </c>
      <c r="I108" s="151">
        <f t="shared" si="66"/>
        <v>0</v>
      </c>
      <c r="J108" s="159">
        <f t="shared" si="64"/>
        <v>0</v>
      </c>
      <c r="K108" t="str">
        <f t="shared" si="65"/>
        <v>µg/kg ds</v>
      </c>
      <c r="M108">
        <v>0</v>
      </c>
      <c r="N108">
        <v>0</v>
      </c>
      <c r="O108">
        <v>1</v>
      </c>
      <c r="P108">
        <f t="shared" si="67"/>
        <v>10</v>
      </c>
      <c r="Q108">
        <f t="shared" si="68"/>
        <v>2</v>
      </c>
      <c r="R108">
        <f t="shared" si="69"/>
        <v>2</v>
      </c>
    </row>
    <row r="109" spans="2:18" x14ac:dyDescent="0.25">
      <c r="B109" s="135" t="str">
        <f>Invoertabblad!B129</f>
        <v>Perfluorhexaansulfonzuur (PFHxS)</v>
      </c>
      <c r="C109">
        <f>Invoertabblad!D129</f>
        <v>0</v>
      </c>
      <c r="D109">
        <f>Invoertabblad!E129</f>
        <v>0</v>
      </c>
      <c r="H109" s="135" t="s">
        <v>400</v>
      </c>
      <c r="I109" s="151">
        <f t="shared" si="66"/>
        <v>0</v>
      </c>
      <c r="J109" s="159">
        <f t="shared" si="64"/>
        <v>0</v>
      </c>
      <c r="K109" t="str">
        <f t="shared" si="65"/>
        <v>µg/kg ds</v>
      </c>
      <c r="M109">
        <v>0</v>
      </c>
      <c r="N109">
        <v>0</v>
      </c>
      <c r="O109">
        <v>1</v>
      </c>
      <c r="P109">
        <f t="shared" si="67"/>
        <v>10</v>
      </c>
      <c r="Q109">
        <f t="shared" si="68"/>
        <v>2</v>
      </c>
      <c r="R109">
        <f t="shared" si="69"/>
        <v>2</v>
      </c>
    </row>
    <row r="110" spans="2:18" x14ac:dyDescent="0.25">
      <c r="B110" s="135" t="str">
        <f>Invoertabblad!B130</f>
        <v>Perfluorheptaansulfonzuur (PFHpS)</v>
      </c>
      <c r="C110">
        <f>Invoertabblad!D130</f>
        <v>0</v>
      </c>
      <c r="D110">
        <f>Invoertabblad!E130</f>
        <v>0</v>
      </c>
      <c r="H110" s="135" t="s">
        <v>400</v>
      </c>
      <c r="I110" s="151">
        <f t="shared" si="66"/>
        <v>0</v>
      </c>
      <c r="J110" s="159">
        <f t="shared" si="64"/>
        <v>0</v>
      </c>
      <c r="K110" t="str">
        <f t="shared" si="65"/>
        <v>µg/kg ds</v>
      </c>
      <c r="M110">
        <v>0</v>
      </c>
      <c r="N110">
        <v>0</v>
      </c>
      <c r="O110">
        <v>1</v>
      </c>
      <c r="P110">
        <f t="shared" si="67"/>
        <v>10</v>
      </c>
      <c r="Q110">
        <f t="shared" si="68"/>
        <v>2</v>
      </c>
      <c r="R110">
        <f t="shared" si="69"/>
        <v>2</v>
      </c>
    </row>
    <row r="111" spans="2:18" x14ac:dyDescent="0.25">
      <c r="B111" s="135" t="str">
        <f>Invoertabblad!B131</f>
        <v>Perfluordecaansulfonzuur (PFDS)</v>
      </c>
      <c r="C111">
        <f>Invoertabblad!D131</f>
        <v>0</v>
      </c>
      <c r="D111">
        <f>Invoertabblad!E131</f>
        <v>0</v>
      </c>
      <c r="H111" s="135" t="s">
        <v>400</v>
      </c>
      <c r="I111" s="151">
        <f t="shared" si="66"/>
        <v>0</v>
      </c>
      <c r="J111" s="159">
        <f t="shared" si="64"/>
        <v>0</v>
      </c>
      <c r="K111" t="str">
        <f t="shared" si="65"/>
        <v>µg/kg ds</v>
      </c>
      <c r="M111">
        <v>0</v>
      </c>
      <c r="N111">
        <v>0</v>
      </c>
      <c r="O111">
        <v>1</v>
      </c>
      <c r="P111">
        <f t="shared" si="67"/>
        <v>10</v>
      </c>
      <c r="Q111">
        <f t="shared" si="68"/>
        <v>2</v>
      </c>
      <c r="R111">
        <f t="shared" si="69"/>
        <v>2</v>
      </c>
    </row>
    <row r="112" spans="2:18" x14ac:dyDescent="0.25">
      <c r="B112" s="135" t="str">
        <f>Invoertabblad!B132</f>
        <v>4:2 fluortelomeer sulfonzuur (4:2FTS)</v>
      </c>
      <c r="C112">
        <f>Invoertabblad!D132</f>
        <v>0</v>
      </c>
      <c r="D112">
        <f>Invoertabblad!E132</f>
        <v>0</v>
      </c>
      <c r="H112" s="135" t="s">
        <v>400</v>
      </c>
      <c r="I112" s="151">
        <f t="shared" si="66"/>
        <v>0</v>
      </c>
      <c r="J112" s="159">
        <f t="shared" si="64"/>
        <v>0</v>
      </c>
      <c r="K112" t="str">
        <f t="shared" si="65"/>
        <v>µg/kg ds</v>
      </c>
      <c r="M112">
        <v>0</v>
      </c>
      <c r="N112">
        <v>0</v>
      </c>
      <c r="O112">
        <v>1</v>
      </c>
      <c r="P112">
        <f t="shared" si="67"/>
        <v>10</v>
      </c>
      <c r="Q112">
        <f t="shared" si="68"/>
        <v>2</v>
      </c>
      <c r="R112">
        <f t="shared" si="69"/>
        <v>2</v>
      </c>
    </row>
    <row r="113" spans="2:18" x14ac:dyDescent="0.25">
      <c r="B113" s="135" t="str">
        <f>Invoertabblad!B133</f>
        <v>6:2 fluortelomeer sulfonzuur (6:2FTS)</v>
      </c>
      <c r="C113">
        <f>Invoertabblad!D133</f>
        <v>0</v>
      </c>
      <c r="D113">
        <f>Invoertabblad!E133</f>
        <v>0</v>
      </c>
      <c r="H113" s="135" t="s">
        <v>400</v>
      </c>
      <c r="I113" s="151">
        <f t="shared" si="66"/>
        <v>0</v>
      </c>
      <c r="J113" s="159">
        <f t="shared" si="64"/>
        <v>0</v>
      </c>
      <c r="K113" t="str">
        <f t="shared" si="65"/>
        <v>µg/kg ds</v>
      </c>
      <c r="M113">
        <v>0</v>
      </c>
      <c r="N113">
        <v>0</v>
      </c>
      <c r="O113">
        <v>1</v>
      </c>
      <c r="P113">
        <f t="shared" si="67"/>
        <v>10</v>
      </c>
      <c r="Q113">
        <f t="shared" si="68"/>
        <v>2</v>
      </c>
      <c r="R113">
        <f t="shared" si="69"/>
        <v>2</v>
      </c>
    </row>
    <row r="114" spans="2:18" x14ac:dyDescent="0.25">
      <c r="B114" s="135" t="str">
        <f>Invoertabblad!B134</f>
        <v>8:2 fluortelomeer sulfonzuur (8:2FTS)</v>
      </c>
      <c r="C114">
        <f>Invoertabblad!D134</f>
        <v>0</v>
      </c>
      <c r="D114">
        <f>Invoertabblad!E134</f>
        <v>0</v>
      </c>
      <c r="H114" s="135" t="s">
        <v>400</v>
      </c>
      <c r="I114" s="151">
        <f t="shared" si="66"/>
        <v>0</v>
      </c>
      <c r="J114" s="159">
        <f t="shared" si="64"/>
        <v>0</v>
      </c>
      <c r="K114" t="str">
        <f t="shared" si="65"/>
        <v>µg/kg ds</v>
      </c>
      <c r="M114">
        <v>0</v>
      </c>
      <c r="N114">
        <v>0</v>
      </c>
      <c r="O114">
        <v>1</v>
      </c>
      <c r="P114">
        <f t="shared" si="67"/>
        <v>10</v>
      </c>
      <c r="Q114">
        <f t="shared" si="68"/>
        <v>2</v>
      </c>
      <c r="R114">
        <f t="shared" si="69"/>
        <v>2</v>
      </c>
    </row>
    <row r="115" spans="2:18" x14ac:dyDescent="0.25">
      <c r="B115" s="135" t="str">
        <f>Invoertabblad!B135</f>
        <v>10:2 fluortelomeer sulfonzuur (10:2FTS)</v>
      </c>
      <c r="C115">
        <f>Invoertabblad!D135</f>
        <v>0</v>
      </c>
      <c r="D115">
        <f>Invoertabblad!E135</f>
        <v>0</v>
      </c>
      <c r="H115" s="135" t="s">
        <v>400</v>
      </c>
      <c r="I115" s="151">
        <f t="shared" si="66"/>
        <v>0</v>
      </c>
      <c r="J115" s="159">
        <f t="shared" si="64"/>
        <v>0</v>
      </c>
      <c r="K115" t="str">
        <f t="shared" si="65"/>
        <v>µg/kg ds</v>
      </c>
      <c r="M115">
        <v>0</v>
      </c>
      <c r="N115">
        <v>0</v>
      </c>
      <c r="O115">
        <v>1</v>
      </c>
      <c r="P115">
        <f t="shared" si="67"/>
        <v>10</v>
      </c>
      <c r="Q115">
        <f t="shared" si="68"/>
        <v>2</v>
      </c>
      <c r="R115">
        <f t="shared" si="69"/>
        <v>2</v>
      </c>
    </row>
    <row r="116" spans="2:18" x14ac:dyDescent="0.25">
      <c r="B116" s="135" t="str">
        <f>Invoertabblad!B136</f>
        <v>Perfluoroctaansulfonamide (PFOSA)</v>
      </c>
      <c r="C116">
        <f>Invoertabblad!D136</f>
        <v>0</v>
      </c>
      <c r="D116">
        <f>Invoertabblad!E136</f>
        <v>0</v>
      </c>
      <c r="H116" s="135" t="s">
        <v>400</v>
      </c>
      <c r="I116" s="151">
        <f t="shared" si="66"/>
        <v>0</v>
      </c>
      <c r="J116" s="159">
        <f t="shared" si="64"/>
        <v>0</v>
      </c>
      <c r="K116" t="str">
        <f t="shared" si="65"/>
        <v>µg/kg ds</v>
      </c>
      <c r="M116">
        <v>0</v>
      </c>
      <c r="N116">
        <v>0</v>
      </c>
      <c r="O116">
        <v>1</v>
      </c>
      <c r="P116">
        <f t="shared" si="67"/>
        <v>10</v>
      </c>
      <c r="Q116">
        <f t="shared" si="68"/>
        <v>2</v>
      </c>
      <c r="R116">
        <f t="shared" si="69"/>
        <v>2</v>
      </c>
    </row>
    <row r="117" spans="2:18" x14ac:dyDescent="0.25">
      <c r="B117" s="135" t="str">
        <f>Invoertabblad!B137</f>
        <v>N-methyl-perfluoroctaansulfonamide (N-MeFOSA)</v>
      </c>
      <c r="C117">
        <f>Invoertabblad!D137</f>
        <v>0</v>
      </c>
      <c r="D117">
        <f>Invoertabblad!E137</f>
        <v>0</v>
      </c>
      <c r="H117" s="135" t="s">
        <v>400</v>
      </c>
      <c r="I117" s="151">
        <f t="shared" si="66"/>
        <v>0</v>
      </c>
      <c r="J117" s="159">
        <f t="shared" si="64"/>
        <v>0</v>
      </c>
      <c r="K117" t="str">
        <f t="shared" si="65"/>
        <v>µg/kg ds</v>
      </c>
      <c r="M117">
        <v>0</v>
      </c>
      <c r="N117">
        <v>0</v>
      </c>
      <c r="O117">
        <v>1</v>
      </c>
      <c r="P117">
        <f t="shared" si="67"/>
        <v>10</v>
      </c>
      <c r="Q117">
        <f t="shared" si="68"/>
        <v>2</v>
      </c>
      <c r="R117">
        <f t="shared" si="69"/>
        <v>2</v>
      </c>
    </row>
    <row r="118" spans="2:18" x14ac:dyDescent="0.25">
      <c r="B118" s="135" t="str">
        <f>Invoertabblad!B138</f>
        <v>N-methyl-perfluoroctaansulfonamide acetaat (N-MeFOSAA)</v>
      </c>
      <c r="C118">
        <f>Invoertabblad!D138</f>
        <v>0</v>
      </c>
      <c r="D118">
        <f>Invoertabblad!E138</f>
        <v>0</v>
      </c>
      <c r="H118" s="135" t="s">
        <v>400</v>
      </c>
      <c r="I118" s="151">
        <f t="shared" si="66"/>
        <v>0</v>
      </c>
      <c r="J118" s="159">
        <f t="shared" si="64"/>
        <v>0</v>
      </c>
      <c r="K118" t="str">
        <f t="shared" si="65"/>
        <v>µg/kg ds</v>
      </c>
      <c r="M118">
        <v>0</v>
      </c>
      <c r="N118">
        <v>0</v>
      </c>
      <c r="O118">
        <v>1</v>
      </c>
      <c r="P118">
        <f t="shared" si="67"/>
        <v>10</v>
      </c>
      <c r="Q118">
        <f t="shared" si="68"/>
        <v>2</v>
      </c>
      <c r="R118">
        <f t="shared" si="69"/>
        <v>2</v>
      </c>
    </row>
    <row r="119" spans="2:18" x14ac:dyDescent="0.25">
      <c r="B119" s="135" t="str">
        <f>Invoertabblad!B139</f>
        <v>N-ethyl-perfluoroctaansulfonamide acetaat (N-EtFOSAA)</v>
      </c>
      <c r="C119">
        <f>Invoertabblad!D139</f>
        <v>0</v>
      </c>
      <c r="D119">
        <f>Invoertabblad!E139</f>
        <v>0</v>
      </c>
      <c r="H119" s="135" t="s">
        <v>400</v>
      </c>
      <c r="I119" s="151">
        <f t="shared" si="66"/>
        <v>0</v>
      </c>
      <c r="J119" s="159">
        <f>D119*(((M119+N119*25)+(O119*10))/((M119+N119*P119)+(O119*R119)))</f>
        <v>0</v>
      </c>
      <c r="K119" t="str">
        <f t="shared" si="65"/>
        <v>µg/kg ds</v>
      </c>
      <c r="M119">
        <v>0</v>
      </c>
      <c r="N119">
        <v>0</v>
      </c>
      <c r="O119">
        <v>1</v>
      </c>
      <c r="P119">
        <f t="shared" si="67"/>
        <v>10</v>
      </c>
      <c r="Q119">
        <f t="shared" si="68"/>
        <v>2</v>
      </c>
      <c r="R119">
        <f t="shared" si="69"/>
        <v>2</v>
      </c>
    </row>
    <row r="120" spans="2:18" x14ac:dyDescent="0.25">
      <c r="B120" s="135" t="str">
        <f>Invoertabblad!B140</f>
        <v>8:2 fluortelomeer fosfaat diester (8:2diPAP)</v>
      </c>
      <c r="C120">
        <f>Invoertabblad!D140</f>
        <v>0</v>
      </c>
      <c r="D120">
        <f>Invoertabblad!E140</f>
        <v>0</v>
      </c>
      <c r="H120" s="135" t="s">
        <v>400</v>
      </c>
      <c r="I120" s="151">
        <f t="shared" si="66"/>
        <v>0</v>
      </c>
      <c r="J120" s="159">
        <f t="shared" si="64"/>
        <v>0</v>
      </c>
      <c r="K120" t="str">
        <f t="shared" si="65"/>
        <v>µg/kg ds</v>
      </c>
      <c r="M120">
        <v>0</v>
      </c>
      <c r="N120">
        <v>0</v>
      </c>
      <c r="O120">
        <v>1</v>
      </c>
      <c r="P120">
        <f t="shared" si="67"/>
        <v>10</v>
      </c>
      <c r="Q120">
        <f t="shared" si="68"/>
        <v>2</v>
      </c>
      <c r="R120">
        <f t="shared" si="69"/>
        <v>2</v>
      </c>
    </row>
    <row r="121" spans="2:18" x14ac:dyDescent="0.25">
      <c r="B121" s="135" t="str">
        <f>Invoertabblad!B142</f>
        <v>Som Perfluoroctaanzuur (PFOA) (factor 0,7)</v>
      </c>
      <c r="C121">
        <f>Invoertabblad!D142</f>
        <v>0</v>
      </c>
      <c r="D121">
        <f>Invoertabblad!E142</f>
        <v>0</v>
      </c>
      <c r="H121" s="135" t="s">
        <v>400</v>
      </c>
      <c r="I121" s="151">
        <f t="shared" si="66"/>
        <v>0</v>
      </c>
      <c r="J121" s="159">
        <f t="shared" si="64"/>
        <v>0</v>
      </c>
      <c r="K121" t="str">
        <f t="shared" si="65"/>
        <v>µg/kg ds</v>
      </c>
      <c r="M121">
        <v>0</v>
      </c>
      <c r="N121">
        <v>0</v>
      </c>
      <c r="O121">
        <v>1</v>
      </c>
      <c r="P121">
        <f t="shared" si="67"/>
        <v>10</v>
      </c>
      <c r="Q121">
        <f t="shared" si="68"/>
        <v>2</v>
      </c>
      <c r="R121">
        <f t="shared" si="69"/>
        <v>2</v>
      </c>
    </row>
    <row r="122" spans="2:18" x14ac:dyDescent="0.25">
      <c r="B122" s="135" t="str">
        <f>Invoertabblad!B144</f>
        <v>Som Perfluoroctaansulfonzuur (PFOS) (factor 0,7)</v>
      </c>
      <c r="C122">
        <f>Invoertabblad!D144</f>
        <v>0</v>
      </c>
      <c r="D122">
        <f>Invoertabblad!E144</f>
        <v>0</v>
      </c>
      <c r="H122" s="135" t="s">
        <v>400</v>
      </c>
      <c r="I122" s="151">
        <f t="shared" si="66"/>
        <v>0</v>
      </c>
      <c r="J122" s="159">
        <f t="shared" si="64"/>
        <v>0</v>
      </c>
      <c r="K122" t="str">
        <f t="shared" si="65"/>
        <v>µg/kg ds</v>
      </c>
      <c r="M122">
        <v>0</v>
      </c>
      <c r="N122">
        <v>0</v>
      </c>
      <c r="O122">
        <v>1</v>
      </c>
      <c r="P122">
        <f t="shared" si="67"/>
        <v>10</v>
      </c>
      <c r="Q122">
        <f t="shared" si="68"/>
        <v>2</v>
      </c>
      <c r="R122">
        <f t="shared" si="69"/>
        <v>2</v>
      </c>
    </row>
    <row r="123" spans="2:18" x14ac:dyDescent="0.25">
      <c r="B123" s="135" t="str">
        <f>Invoertabblad!B145</f>
        <v>GenX - 2,3,3,3-Tetrafluor-2-(Heptafluorpropoxy)Pro</v>
      </c>
      <c r="C123">
        <f>Invoertabblad!D145</f>
        <v>0</v>
      </c>
      <c r="D123">
        <f>Invoertabblad!E145</f>
        <v>0</v>
      </c>
      <c r="H123" s="135" t="s">
        <v>400</v>
      </c>
      <c r="I123" s="151">
        <f t="shared" si="66"/>
        <v>0</v>
      </c>
      <c r="J123" s="159">
        <f t="shared" si="64"/>
        <v>0</v>
      </c>
      <c r="K123" t="str">
        <f t="shared" si="65"/>
        <v>µg/kg ds</v>
      </c>
      <c r="M123">
        <v>0</v>
      </c>
      <c r="N123">
        <v>0</v>
      </c>
      <c r="O123">
        <v>1</v>
      </c>
      <c r="P123">
        <f t="shared" si="67"/>
        <v>10</v>
      </c>
      <c r="Q123">
        <f t="shared" si="68"/>
        <v>2</v>
      </c>
      <c r="R123">
        <f t="shared" si="69"/>
        <v>2</v>
      </c>
    </row>
  </sheetData>
  <sheetProtection algorithmName="SHA-512" hashValue="Dod0yjzgWsuhqwycMAZKTDJ7sIcMAdHGaRKXPfk61JxerIr6yPTVdy5Nq2wwNU7CMOg1R9tOP/fRmyAX+rlS2w==" saltValue="g8FfhVxSbmvkhvR3nJAs5w==" spinCount="100000" sheet="1" selectLockedCells="1" selectUnlockedCells="1"/>
  <conditionalFormatting sqref="C1:C34 C36:C1048576">
    <cfRule type="cellIs" dxfId="0" priority="2" operator="equal">
      <formula>0</formula>
    </cfRule>
  </conditionalFormatting>
  <pageMargins left="0.7" right="0.7" top="0.75" bottom="0.75" header="0.3" footer="0.3"/>
  <pageSetup paperSize="9" scale="25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529ed5c-28c4-4f24-a930-b7274a9c19a8" xsi:nil="true"/>
    <lcf76f155ced4ddcb4097134ff3c332f xmlns="9dde6c94-8301-4e13-9b63-31758c188d57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E4D2E38F67ACD46837DF0C773A84B53" ma:contentTypeVersion="11" ma:contentTypeDescription="Create a new document." ma:contentTypeScope="" ma:versionID="b77153d217db9a16b66e8177174a01ba">
  <xsd:schema xmlns:xsd="http://www.w3.org/2001/XMLSchema" xmlns:xs="http://www.w3.org/2001/XMLSchema" xmlns:p="http://schemas.microsoft.com/office/2006/metadata/properties" xmlns:ns2="9dde6c94-8301-4e13-9b63-31758c188d57" xmlns:ns3="2529ed5c-28c4-4f24-a930-b7274a9c19a8" targetNamespace="http://schemas.microsoft.com/office/2006/metadata/properties" ma:root="true" ma:fieldsID="6ffebfd807dba94308962f6a2e4470d6" ns2:_="" ns3:_="">
    <xsd:import namespace="9dde6c94-8301-4e13-9b63-31758c188d57"/>
    <xsd:import namespace="2529ed5c-28c4-4f24-a930-b7274a9c19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de6c94-8301-4e13-9b63-31758c188d5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e4c74500-d1f5-4ed8-a570-4b292980b59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29ed5c-28c4-4f24-a930-b7274a9c19a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1c4ae24-e765-449b-955e-ef1dad298653}" ma:internalName="TaxCatchAll" ma:showField="CatchAllData" ma:web="2529ed5c-28c4-4f24-a930-b7274a9c19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5A03159-5829-458C-9E6C-D2829AF0F93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F502D00-FAB4-40CE-BAD5-86CAC82C9E9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5048a51f-d5da-49ef-b4cd-08d59a0f7031"/>
    <ds:schemaRef ds:uri="http://schemas.microsoft.com/office/infopath/2007/PartnerControls"/>
    <ds:schemaRef ds:uri="f0e9e6ec-6ff8-401e-8533-b3bd1f264cde"/>
    <ds:schemaRef ds:uri="http://www.w3.org/XML/1998/namespace"/>
    <ds:schemaRef ds:uri="http://purl.org/dc/dcmitype/"/>
    <ds:schemaRef ds:uri="2529ed5c-28c4-4f24-a930-b7274a9c19a8"/>
    <ds:schemaRef ds:uri="9dde6c94-8301-4e13-9b63-31758c188d57"/>
  </ds:schemaRefs>
</ds:datastoreItem>
</file>

<file path=customXml/itemProps3.xml><?xml version="1.0" encoding="utf-8"?>
<ds:datastoreItem xmlns:ds="http://schemas.openxmlformats.org/officeDocument/2006/customXml" ds:itemID="{D43ABB0B-2EE3-46E6-A45A-C3B3A215398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de6c94-8301-4e13-9b63-31758c188d57"/>
    <ds:schemaRef ds:uri="2529ed5c-28c4-4f24-a930-b7274a9c19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4ec4d0d3-3eeb-49c9-ade5-617a45446d87}" enabled="1" method="Standard" siteId="{30453998-4784-4b0e-bdb0-a8ba14eff494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9</vt:i4>
      </vt:variant>
      <vt:variant>
        <vt:lpstr>Benoemde bereiken</vt:lpstr>
      </vt:variant>
      <vt:variant>
        <vt:i4>89</vt:i4>
      </vt:variant>
    </vt:vector>
  </HeadingPairs>
  <TitlesOfParts>
    <vt:vector size="98" baseType="lpstr">
      <vt:lpstr>Invoertabblad</vt:lpstr>
      <vt:lpstr>EURAL</vt:lpstr>
      <vt:lpstr>Toepassen op waterbodem</vt:lpstr>
      <vt:lpstr>Verspreiden in zoet opp water</vt:lpstr>
      <vt:lpstr>Verspreiden in zout opp water</vt:lpstr>
      <vt:lpstr>Toepassen in diepe plas</vt:lpstr>
      <vt:lpstr>molgewicht</vt:lpstr>
      <vt:lpstr>correctiefactor</vt:lpstr>
      <vt:lpstr>standaardisering</vt:lpstr>
      <vt:lpstr>EURAL!Afdrukbereik</vt:lpstr>
      <vt:lpstr>Invoertabblad!Afdrukbereik</vt:lpstr>
      <vt:lpstr>'Toepassen in diepe plas'!Afdrukbereik</vt:lpstr>
      <vt:lpstr>'Toepassen op waterbodem'!Afdrukbereik</vt:lpstr>
      <vt:lpstr>'Verspreiden in zoet opp water'!Afdrukbereik</vt:lpstr>
      <vt:lpstr>'Verspreiden in zout opp water'!Afdrukbereik</vt:lpstr>
      <vt:lpstr>Ag</vt:lpstr>
      <vt:lpstr>Al</vt:lpstr>
      <vt:lpstr>Ar</vt:lpstr>
      <vt:lpstr>As</vt:lpstr>
      <vt:lpstr>At</vt:lpstr>
      <vt:lpstr>Au</vt:lpstr>
      <vt:lpstr>B</vt:lpstr>
      <vt:lpstr>Ba</vt:lpstr>
      <vt:lpstr>Be</vt:lpstr>
      <vt:lpstr>Bh</vt:lpstr>
      <vt:lpstr>Bi</vt:lpstr>
      <vt:lpstr>Br</vt:lpstr>
      <vt:lpstr>C_</vt:lpstr>
      <vt:lpstr>Ca</vt:lpstr>
      <vt:lpstr>Cd</vt:lpstr>
      <vt:lpstr>Cl</vt:lpstr>
      <vt:lpstr>Cn</vt:lpstr>
      <vt:lpstr>Co</vt:lpstr>
      <vt:lpstr>Cr</vt:lpstr>
      <vt:lpstr>Cs</vt:lpstr>
      <vt:lpstr>Cu</vt:lpstr>
      <vt:lpstr>Db</vt:lpstr>
      <vt:lpstr>Ds</vt:lpstr>
      <vt:lpstr>F</vt:lpstr>
      <vt:lpstr>Fe</vt:lpstr>
      <vt:lpstr>Fr</vt:lpstr>
      <vt:lpstr>Ga</vt:lpstr>
      <vt:lpstr>Ge</vt:lpstr>
      <vt:lpstr>H</vt:lpstr>
      <vt:lpstr>He</vt:lpstr>
      <vt:lpstr>Hf</vt:lpstr>
      <vt:lpstr>Hg</vt:lpstr>
      <vt:lpstr>Hs</vt:lpstr>
      <vt:lpstr>I</vt:lpstr>
      <vt:lpstr>In</vt:lpstr>
      <vt:lpstr>Ir</vt:lpstr>
      <vt:lpstr>Kalium</vt:lpstr>
      <vt:lpstr>Kr</vt:lpstr>
      <vt:lpstr>Li</vt:lpstr>
      <vt:lpstr>Lr</vt:lpstr>
      <vt:lpstr>Lu</vt:lpstr>
      <vt:lpstr>Mg</vt:lpstr>
      <vt:lpstr>Mn</vt:lpstr>
      <vt:lpstr>Mo</vt:lpstr>
      <vt:lpstr>Mt</vt:lpstr>
      <vt:lpstr>N</vt:lpstr>
      <vt:lpstr>Na</vt:lpstr>
      <vt:lpstr>Nb</vt:lpstr>
      <vt:lpstr>Ne</vt:lpstr>
      <vt:lpstr>Ni</vt:lpstr>
      <vt:lpstr>O</vt:lpstr>
      <vt:lpstr>Os</vt:lpstr>
      <vt:lpstr>P</vt:lpstr>
      <vt:lpstr>Pb</vt:lpstr>
      <vt:lpstr>Po</vt:lpstr>
      <vt:lpstr>Pt</vt:lpstr>
      <vt:lpstr>Ra</vt:lpstr>
      <vt:lpstr>Rb</vt:lpstr>
      <vt:lpstr>Re</vt:lpstr>
      <vt:lpstr>Rf</vt:lpstr>
      <vt:lpstr>Rg</vt:lpstr>
      <vt:lpstr>Rh</vt:lpstr>
      <vt:lpstr>Rn</vt:lpstr>
      <vt:lpstr>Ru</vt:lpstr>
      <vt:lpstr>S</vt:lpstr>
      <vt:lpstr>Sb</vt:lpstr>
      <vt:lpstr>Sc</vt:lpstr>
      <vt:lpstr>Se</vt:lpstr>
      <vt:lpstr>Sg</vt:lpstr>
      <vt:lpstr>Si</vt:lpstr>
      <vt:lpstr>Sn</vt:lpstr>
      <vt:lpstr>Sr</vt:lpstr>
      <vt:lpstr>Ta</vt:lpstr>
      <vt:lpstr>Tc</vt:lpstr>
      <vt:lpstr>Te</vt:lpstr>
      <vt:lpstr>Ti</vt:lpstr>
      <vt:lpstr>Tl</vt:lpstr>
      <vt:lpstr>V</vt:lpstr>
      <vt:lpstr>W</vt:lpstr>
      <vt:lpstr>Xe</vt:lpstr>
      <vt:lpstr>Y</vt:lpstr>
      <vt:lpstr>Zn</vt:lpstr>
      <vt:lpstr>Zr</vt:lpstr>
    </vt:vector>
  </TitlesOfParts>
  <Company>Tauw bv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juo</dc:creator>
  <cp:lastModifiedBy>Barel, Mels</cp:lastModifiedBy>
  <cp:lastPrinted>2025-08-19T11:42:41Z</cp:lastPrinted>
  <dcterms:created xsi:type="dcterms:W3CDTF">2008-01-17T13:58:01Z</dcterms:created>
  <dcterms:modified xsi:type="dcterms:W3CDTF">2026-01-19T12:30:53Z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0x0101000E4D2E38F67ACD46837DF0C773A84B53</vt:lpwstr>
  </property>
  <property fmtid="{D5CDD505-2E9C-101B-9397-08002B2CF9AE}" pid="3" name="MediaServiceImageTags">
    <vt:lpwstr/>
  </property>
</Properties>
</file>